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bookViews>
    <workbookView xWindow="-12" yWindow="-12" windowWidth="10320" windowHeight="8172"/>
  </bookViews>
  <sheets>
    <sheet name="Schwimmbadbilanz" sheetId="1" r:id="rId1"/>
    <sheet name="U-Wert" sheetId="5" r:id="rId2"/>
    <sheet name="Daten" sheetId="2" state="hidden" r:id="rId3"/>
  </sheets>
  <definedNames>
    <definedName name="_xlnm.Print_Area" localSheetId="0">Schwimmbadbilanz!$A$1:$K$101</definedName>
    <definedName name="_xlnm.Print_Area" localSheetId="1">'U-Wert'!$A$1:$E$46</definedName>
    <definedName name="_xlnm.Print_Titles" localSheetId="0">Schwimmbadbilanz!$2:$3</definedName>
  </definedNames>
  <calcPr calcId="145621"/>
</workbook>
</file>

<file path=xl/calcChain.xml><?xml version="1.0" encoding="utf-8"?>
<calcChain xmlns="http://schemas.openxmlformats.org/spreadsheetml/2006/main">
  <c r="U119" i="2" l="1"/>
  <c r="A89" i="1"/>
  <c r="R48" i="1" l="1"/>
  <c r="V63" i="1" s="1"/>
  <c r="J79" i="1" l="1"/>
  <c r="AF47" i="1"/>
  <c r="A79" i="1"/>
  <c r="H61" i="1"/>
  <c r="A61" i="1"/>
  <c r="E25" i="1" l="1"/>
  <c r="E24" i="1"/>
  <c r="H47" i="1" l="1"/>
  <c r="A101" i="1" l="1"/>
  <c r="B6" i="5" l="1"/>
  <c r="B4" i="5"/>
  <c r="L10" i="5" l="1"/>
  <c r="L8" i="5"/>
  <c r="L7" i="5"/>
  <c r="L6" i="5"/>
  <c r="P77" i="1" l="1"/>
  <c r="P80" i="1"/>
  <c r="A81" i="1" l="1"/>
  <c r="E26" i="1"/>
  <c r="G83" i="1" l="1"/>
  <c r="P76" i="1" s="1"/>
  <c r="I65" i="1"/>
  <c r="F22" i="1"/>
  <c r="G21" i="1"/>
  <c r="F20" i="1"/>
  <c r="N48" i="1"/>
  <c r="N49" i="1"/>
  <c r="N50" i="1"/>
  <c r="N51" i="1"/>
  <c r="N52" i="1"/>
  <c r="N53" i="1"/>
  <c r="N54" i="1"/>
  <c r="N55" i="1"/>
  <c r="N56" i="1"/>
  <c r="N57" i="1"/>
  <c r="N58" i="1"/>
  <c r="N59" i="1"/>
  <c r="N60" i="1"/>
  <c r="N62" i="1" l="1"/>
  <c r="P82" i="1"/>
  <c r="P79" i="1"/>
  <c r="P81" i="1" s="1"/>
  <c r="P86" i="1"/>
  <c r="P78" i="1"/>
  <c r="A82" i="1"/>
  <c r="G86" i="1"/>
  <c r="P83" i="1" l="1"/>
  <c r="P87" i="1"/>
  <c r="F26" i="1"/>
  <c r="A26" i="1"/>
  <c r="G71" i="1"/>
  <c r="G72" i="1"/>
  <c r="A65" i="1"/>
  <c r="S111" i="2"/>
  <c r="P89" i="1" l="1"/>
  <c r="P90" i="1" s="1"/>
  <c r="P84" i="1"/>
  <c r="P85" i="1" s="1"/>
  <c r="G89" i="1" s="1"/>
  <c r="J89" i="1" s="1"/>
  <c r="J93" i="1" s="1"/>
  <c r="E65" i="1"/>
  <c r="AN47" i="1"/>
  <c r="AD48" i="1"/>
  <c r="AB48" i="1"/>
  <c r="AD49" i="1"/>
  <c r="AD50" i="1"/>
  <c r="AD51" i="1"/>
  <c r="AD52" i="1"/>
  <c r="AD53" i="1"/>
  <c r="AD54" i="1"/>
  <c r="AD55" i="1"/>
  <c r="AD56" i="1"/>
  <c r="AD57" i="1"/>
  <c r="AD58" i="1"/>
  <c r="AD59" i="1"/>
  <c r="AB49" i="1"/>
  <c r="AB50" i="1"/>
  <c r="AB51" i="1"/>
  <c r="AB52" i="1"/>
  <c r="AB53" i="1"/>
  <c r="AB54" i="1"/>
  <c r="AB55" i="1"/>
  <c r="AB56" i="1"/>
  <c r="AB57" i="1"/>
  <c r="AB58" i="1"/>
  <c r="AB59" i="1"/>
  <c r="AK63" i="1" l="1"/>
  <c r="AG48" i="1" l="1"/>
  <c r="AG49" i="1"/>
  <c r="AG50" i="1"/>
  <c r="AG51" i="1"/>
  <c r="AG52" i="1"/>
  <c r="AG53" i="1"/>
  <c r="AG54" i="1"/>
  <c r="AG55" i="1"/>
  <c r="AG56" i="1"/>
  <c r="AG57" i="1"/>
  <c r="AG58" i="1"/>
  <c r="AG59" i="1"/>
  <c r="V49" i="1"/>
  <c r="X49" i="1" s="1"/>
  <c r="V50" i="1"/>
  <c r="X50" i="1" s="1"/>
  <c r="V51" i="1"/>
  <c r="X51" i="1" s="1"/>
  <c r="V52" i="1"/>
  <c r="X52" i="1" s="1"/>
  <c r="V53" i="1"/>
  <c r="X53" i="1" s="1"/>
  <c r="V54" i="1"/>
  <c r="X54" i="1" s="1"/>
  <c r="V55" i="1"/>
  <c r="X55" i="1" s="1"/>
  <c r="V56" i="1"/>
  <c r="X56" i="1" s="1"/>
  <c r="V57" i="1"/>
  <c r="X57" i="1" s="1"/>
  <c r="V58" i="1"/>
  <c r="X58" i="1" s="1"/>
  <c r="V59" i="1"/>
  <c r="X59" i="1" s="1"/>
  <c r="V48" i="1"/>
  <c r="X48" i="1" s="1"/>
  <c r="D42" i="1"/>
  <c r="E13" i="5" l="1"/>
  <c r="A14" i="5"/>
  <c r="A15" i="5"/>
  <c r="A16" i="5"/>
  <c r="A17" i="5"/>
  <c r="A18" i="5"/>
  <c r="A19" i="5"/>
  <c r="A20" i="5"/>
  <c r="A21" i="5"/>
  <c r="A22" i="5"/>
  <c r="A23" i="5"/>
  <c r="E24" i="5"/>
  <c r="E32" i="5"/>
  <c r="A33" i="5"/>
  <c r="A34" i="5"/>
  <c r="A35" i="5"/>
  <c r="A36" i="5"/>
  <c r="A37" i="5"/>
  <c r="A38" i="5"/>
  <c r="A39" i="5"/>
  <c r="A40" i="5"/>
  <c r="A41" i="5"/>
  <c r="A42" i="5"/>
  <c r="E43" i="5"/>
  <c r="D38" i="5" l="1"/>
  <c r="E38" i="5" s="1"/>
  <c r="D19" i="5"/>
  <c r="E19" i="5" s="1"/>
  <c r="D15" i="5"/>
  <c r="E15" i="5" s="1"/>
  <c r="D14" i="5"/>
  <c r="E14" i="5" s="1"/>
  <c r="D23" i="5"/>
  <c r="E23" i="5" s="1"/>
  <c r="D16" i="5"/>
  <c r="E16" i="5" s="1"/>
  <c r="D34" i="5"/>
  <c r="E34" i="5" s="1"/>
  <c r="D42" i="5"/>
  <c r="E42" i="5" s="1"/>
  <c r="D41" i="5"/>
  <c r="E41" i="5" s="1"/>
  <c r="D37" i="5"/>
  <c r="E37" i="5" s="1"/>
  <c r="D33" i="5"/>
  <c r="E33" i="5" s="1"/>
  <c r="D22" i="5"/>
  <c r="E22" i="5" s="1"/>
  <c r="D18" i="5"/>
  <c r="E18" i="5" s="1"/>
  <c r="D40" i="5"/>
  <c r="E40" i="5" s="1"/>
  <c r="D36" i="5"/>
  <c r="E36" i="5" s="1"/>
  <c r="D21" i="5"/>
  <c r="E21" i="5" s="1"/>
  <c r="D17" i="5"/>
  <c r="E17" i="5" s="1"/>
  <c r="D39" i="5"/>
  <c r="E39" i="5" s="1"/>
  <c r="D35" i="5"/>
  <c r="E35" i="5" s="1"/>
  <c r="D20" i="5"/>
  <c r="E20" i="5" s="1"/>
  <c r="L19" i="5" l="1"/>
  <c r="L9" i="5"/>
  <c r="L20" i="5" s="1"/>
  <c r="L21" i="5"/>
  <c r="E25" i="5"/>
  <c r="E27" i="5" s="1"/>
  <c r="E44" i="5"/>
  <c r="E46" i="5" s="1"/>
  <c r="Z18" i="2"/>
  <c r="L13" i="5" l="1"/>
  <c r="L23" i="5"/>
  <c r="Y22" i="2" s="1"/>
  <c r="L12" i="5"/>
  <c r="L11" i="5"/>
  <c r="Y26" i="2"/>
  <c r="AB26" i="2" s="1"/>
  <c r="L15" i="5" l="1"/>
  <c r="Y29" i="2" s="1"/>
  <c r="AA26" i="2"/>
  <c r="Z26" i="2"/>
  <c r="R49" i="1"/>
  <c r="V64" i="1" s="1"/>
  <c r="AN59" i="1"/>
  <c r="AN58" i="1"/>
  <c r="AN57" i="1"/>
  <c r="AN56" i="1"/>
  <c r="AN55" i="1"/>
  <c r="AN54" i="1"/>
  <c r="AN53" i="1"/>
  <c r="AN52" i="1"/>
  <c r="AN51" i="1"/>
  <c r="AN50" i="1"/>
  <c r="AN49" i="1"/>
  <c r="AN48" i="1"/>
  <c r="N89" i="2"/>
  <c r="N88" i="2"/>
  <c r="N87" i="2"/>
  <c r="N86" i="2"/>
  <c r="N85" i="2"/>
  <c r="N49" i="2"/>
  <c r="N84" i="2"/>
  <c r="N83" i="2"/>
  <c r="N82" i="2"/>
  <c r="N81" i="2"/>
  <c r="N80" i="2"/>
  <c r="N79" i="2"/>
  <c r="N78" i="2"/>
  <c r="N77" i="2"/>
  <c r="N76" i="2"/>
  <c r="N75" i="2"/>
  <c r="N74" i="2"/>
  <c r="N73" i="2"/>
  <c r="N72" i="2"/>
  <c r="N71" i="2"/>
  <c r="N70" i="2"/>
  <c r="N69" i="2"/>
  <c r="N68" i="2"/>
  <c r="N67" i="2"/>
  <c r="N66" i="2"/>
  <c r="N65" i="2"/>
  <c r="N64" i="2"/>
  <c r="N63" i="2"/>
  <c r="N62" i="2"/>
  <c r="N61" i="2"/>
  <c r="N60" i="2"/>
  <c r="N50" i="2"/>
  <c r="N59" i="2"/>
  <c r="N58" i="2"/>
  <c r="N57" i="2"/>
  <c r="N56" i="2"/>
  <c r="N55" i="2"/>
  <c r="N54" i="2"/>
  <c r="N53" i="2"/>
  <c r="N52" i="2"/>
  <c r="N51" i="2"/>
  <c r="N132" i="2"/>
  <c r="N131"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92" i="2"/>
  <c r="N102" i="2"/>
  <c r="N101" i="2"/>
  <c r="N100" i="2"/>
  <c r="N99" i="2"/>
  <c r="N98" i="2"/>
  <c r="N97" i="2"/>
  <c r="N96" i="2"/>
  <c r="N95" i="2"/>
  <c r="N94" i="2"/>
  <c r="AH51" i="1" l="1"/>
  <c r="AE51" i="1"/>
  <c r="AC51" i="1" s="1"/>
  <c r="AF51" i="1" s="1"/>
  <c r="AH52" i="1"/>
  <c r="AE52" i="1"/>
  <c r="AC52" i="1" s="1"/>
  <c r="AF52" i="1" s="1"/>
  <c r="AH58" i="1"/>
  <c r="AE58" i="1"/>
  <c r="AC58" i="1" s="1"/>
  <c r="AF58" i="1" s="1"/>
  <c r="AH53" i="1"/>
  <c r="AE53" i="1"/>
  <c r="AC53" i="1" s="1"/>
  <c r="AF53" i="1" s="1"/>
  <c r="AH59" i="1"/>
  <c r="AE59" i="1"/>
  <c r="AC59" i="1" s="1"/>
  <c r="AF59" i="1" s="1"/>
  <c r="AI48" i="1"/>
  <c r="AE48" i="1"/>
  <c r="AC48" i="1" s="1"/>
  <c r="AF48" i="1" s="1"/>
  <c r="AH54" i="1"/>
  <c r="AE54" i="1"/>
  <c r="AC54" i="1" s="1"/>
  <c r="AF54" i="1" s="1"/>
  <c r="AH49" i="1"/>
  <c r="AJ49" i="1" s="1"/>
  <c r="AK49" i="1" s="1"/>
  <c r="AE49" i="1"/>
  <c r="AC49" i="1" s="1"/>
  <c r="AF49" i="1" s="1"/>
  <c r="AH55" i="1"/>
  <c r="AE55" i="1"/>
  <c r="AC55" i="1" s="1"/>
  <c r="AF55" i="1" s="1"/>
  <c r="AH50" i="1"/>
  <c r="AE50" i="1"/>
  <c r="AC50" i="1" s="1"/>
  <c r="AF50" i="1" s="1"/>
  <c r="AH56" i="1"/>
  <c r="AE56" i="1"/>
  <c r="AC56" i="1" s="1"/>
  <c r="AF56" i="1" s="1"/>
  <c r="AH57" i="1"/>
  <c r="AE57" i="1"/>
  <c r="AC57" i="1" s="1"/>
  <c r="AF57" i="1" s="1"/>
  <c r="AH48" i="1"/>
  <c r="AI52" i="1"/>
  <c r="AI49" i="1"/>
  <c r="AI53" i="1"/>
  <c r="AI57" i="1"/>
  <c r="AI50" i="1"/>
  <c r="AI54" i="1"/>
  <c r="AI58" i="1"/>
  <c r="AI56" i="1"/>
  <c r="AI51" i="1"/>
  <c r="AI55" i="1"/>
  <c r="AI59" i="1"/>
  <c r="N63" i="1"/>
  <c r="E44" i="1" s="1"/>
  <c r="Z27" i="2"/>
  <c r="A44" i="1"/>
  <c r="Z48" i="1" s="1"/>
  <c r="AJ57" i="1" l="1"/>
  <c r="AK57" i="1" s="1"/>
  <c r="AL57" i="1" s="1"/>
  <c r="AM57" i="1" s="1"/>
  <c r="AJ50" i="1"/>
  <c r="AK50" i="1" s="1"/>
  <c r="AL50" i="1" s="1"/>
  <c r="AM50" i="1" s="1"/>
  <c r="AJ53" i="1"/>
  <c r="AK53" i="1" s="1"/>
  <c r="AL53" i="1" s="1"/>
  <c r="AM53" i="1" s="1"/>
  <c r="AJ52" i="1"/>
  <c r="AK52" i="1" s="1"/>
  <c r="AL52" i="1" s="1"/>
  <c r="AM52" i="1" s="1"/>
  <c r="AJ48" i="1"/>
  <c r="AK48" i="1" s="1"/>
  <c r="AL48" i="1" s="1"/>
  <c r="AM48" i="1" s="1"/>
  <c r="AJ56" i="1"/>
  <c r="AK56" i="1" s="1"/>
  <c r="AL56" i="1" s="1"/>
  <c r="AM56" i="1" s="1"/>
  <c r="AJ55" i="1"/>
  <c r="AK55" i="1" s="1"/>
  <c r="AL55" i="1" s="1"/>
  <c r="AM55" i="1" s="1"/>
  <c r="AJ54" i="1"/>
  <c r="AK54" i="1" s="1"/>
  <c r="AL54" i="1" s="1"/>
  <c r="AM54" i="1" s="1"/>
  <c r="AJ59" i="1"/>
  <c r="AK59" i="1" s="1"/>
  <c r="AL59" i="1" s="1"/>
  <c r="AM59" i="1" s="1"/>
  <c r="AJ58" i="1"/>
  <c r="AK58" i="1" s="1"/>
  <c r="AL58" i="1" s="1"/>
  <c r="AM58" i="1" s="1"/>
  <c r="AJ51" i="1"/>
  <c r="AK51" i="1" s="1"/>
  <c r="AL51" i="1" s="1"/>
  <c r="AM51" i="1" s="1"/>
  <c r="AO55" i="1"/>
  <c r="AO58" i="1"/>
  <c r="AO56" i="1"/>
  <c r="AO49" i="1"/>
  <c r="AO59" i="1"/>
  <c r="AO52" i="1"/>
  <c r="AO57" i="1"/>
  <c r="AO48" i="1"/>
  <c r="AO50" i="1"/>
  <c r="AO54" i="1"/>
  <c r="AO53" i="1"/>
  <c r="AO51" i="1"/>
  <c r="AL49" i="1"/>
  <c r="AM49" i="1" s="1"/>
  <c r="AH60" i="1"/>
  <c r="Z58" i="1"/>
  <c r="Z53" i="1"/>
  <c r="Z52" i="1"/>
  <c r="Z54" i="1"/>
  <c r="Z49" i="1"/>
  <c r="Z59" i="1"/>
  <c r="Z55" i="1"/>
  <c r="Z57" i="1"/>
  <c r="Z56" i="1"/>
  <c r="Z51" i="1"/>
  <c r="Z50" i="1"/>
  <c r="S59" i="1"/>
  <c r="S48" i="1"/>
  <c r="A48" i="1" s="1"/>
  <c r="S52" i="1"/>
  <c r="A52" i="1" s="1"/>
  <c r="S56" i="1"/>
  <c r="S49" i="1"/>
  <c r="C49" i="1" s="1"/>
  <c r="S53" i="1"/>
  <c r="A53" i="1" s="1"/>
  <c r="S57" i="1"/>
  <c r="A57" i="1" s="1"/>
  <c r="S50" i="1"/>
  <c r="A50" i="1" s="1"/>
  <c r="S54" i="1"/>
  <c r="A54" i="1" s="1"/>
  <c r="S58" i="1"/>
  <c r="S51" i="1"/>
  <c r="S55" i="1"/>
  <c r="A55" i="1" s="1"/>
  <c r="C51" i="1" l="1"/>
  <c r="A51" i="1"/>
  <c r="A49" i="1"/>
  <c r="C59" i="1"/>
  <c r="A59" i="1"/>
  <c r="C56" i="1"/>
  <c r="A56" i="1"/>
  <c r="C58" i="1"/>
  <c r="A58" i="1"/>
  <c r="E55" i="1"/>
  <c r="D55" i="1"/>
  <c r="G55" i="1"/>
  <c r="D50" i="1"/>
  <c r="E50" i="1"/>
  <c r="G50" i="1"/>
  <c r="C55" i="1"/>
  <c r="D51" i="1"/>
  <c r="E51" i="1"/>
  <c r="G51" i="1"/>
  <c r="E57" i="1"/>
  <c r="D57" i="1"/>
  <c r="G57" i="1"/>
  <c r="D52" i="1"/>
  <c r="E52" i="1"/>
  <c r="G52" i="1"/>
  <c r="C52" i="1"/>
  <c r="D58" i="1"/>
  <c r="E58" i="1"/>
  <c r="G58" i="1"/>
  <c r="D53" i="1"/>
  <c r="E53" i="1"/>
  <c r="G53" i="1"/>
  <c r="D48" i="1"/>
  <c r="E48" i="1"/>
  <c r="G48" i="1"/>
  <c r="C53" i="1"/>
  <c r="D54" i="1"/>
  <c r="E54" i="1"/>
  <c r="G54" i="1"/>
  <c r="E49" i="1"/>
  <c r="D49" i="1"/>
  <c r="G49" i="1"/>
  <c r="D59" i="1"/>
  <c r="E59" i="1"/>
  <c r="G59" i="1"/>
  <c r="C57" i="1"/>
  <c r="C54" i="1"/>
  <c r="C48" i="1"/>
  <c r="D56" i="1"/>
  <c r="E56" i="1"/>
  <c r="G56" i="1"/>
  <c r="C50" i="1"/>
  <c r="S60" i="1"/>
  <c r="E60" i="1"/>
  <c r="C60" i="1"/>
  <c r="D60" i="1"/>
  <c r="G60" i="1"/>
  <c r="N47" i="1" l="1"/>
  <c r="A62" i="1" l="1"/>
  <c r="O60" i="1" l="1"/>
  <c r="AO12" i="2"/>
  <c r="AN12" i="2"/>
  <c r="AM12" i="2"/>
  <c r="AL12" i="2"/>
  <c r="AK12" i="2"/>
  <c r="AJ12" i="2"/>
  <c r="AI12" i="2"/>
  <c r="AH12" i="2"/>
  <c r="AG12" i="2"/>
  <c r="AF12" i="2"/>
  <c r="AE12" i="2"/>
  <c r="AD12" i="2"/>
  <c r="AC12" i="2"/>
  <c r="AB12" i="2"/>
  <c r="AA12" i="2"/>
  <c r="Z12" i="2"/>
  <c r="AA10" i="2"/>
  <c r="AB10" i="2"/>
  <c r="AC10" i="2"/>
  <c r="AD10" i="2"/>
  <c r="AE10" i="2"/>
  <c r="AF10" i="2"/>
  <c r="AG10" i="2"/>
  <c r="AH10" i="2"/>
  <c r="AI10" i="2"/>
  <c r="AJ10" i="2"/>
  <c r="AK10" i="2"/>
  <c r="AL10" i="2"/>
  <c r="AM10" i="2"/>
  <c r="AN10" i="2"/>
  <c r="AO10" i="2"/>
  <c r="Z10" i="2"/>
  <c r="U50" i="2" l="1"/>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49" i="2"/>
  <c r="N45" i="2" l="1"/>
  <c r="N44" i="2"/>
  <c r="N43" i="2"/>
  <c r="N42" i="2"/>
  <c r="N41" i="2"/>
  <c r="N40" i="2"/>
  <c r="N39" i="2"/>
  <c r="N38" i="2"/>
  <c r="N37" i="2"/>
  <c r="N36" i="2"/>
  <c r="N35" i="2"/>
  <c r="N34" i="2"/>
  <c r="N33" i="2"/>
  <c r="N32" i="2"/>
  <c r="N31" i="2"/>
  <c r="N30" i="2"/>
  <c r="N29" i="2"/>
  <c r="N28" i="2"/>
  <c r="N26" i="2"/>
  <c r="N25" i="2"/>
  <c r="N24" i="2"/>
  <c r="N23" i="2"/>
  <c r="N22" i="2"/>
  <c r="N21" i="2"/>
  <c r="N20" i="2"/>
  <c r="N19" i="2"/>
  <c r="N18" i="2"/>
  <c r="N17" i="2"/>
  <c r="N16" i="2"/>
  <c r="N6" i="2"/>
  <c r="N15" i="2"/>
  <c r="N14" i="2"/>
  <c r="N13" i="2"/>
  <c r="N12" i="2"/>
  <c r="N11" i="2"/>
  <c r="N10" i="2"/>
  <c r="N9" i="2"/>
  <c r="N8" i="2"/>
  <c r="N7" i="2"/>
  <c r="N5" i="2"/>
  <c r="Z23" i="2" l="1"/>
  <c r="Z19" i="2"/>
  <c r="N130" i="2"/>
  <c r="N93" i="2"/>
  <c r="AC24" i="2" l="1"/>
  <c r="Z24" i="2"/>
  <c r="AA24" i="2"/>
  <c r="AB24" i="2"/>
  <c r="AA20" i="2"/>
  <c r="Z20" i="2"/>
  <c r="AB20" i="2"/>
  <c r="AC20" i="2"/>
  <c r="Z25" i="2" l="1"/>
  <c r="Z28" i="2" s="1"/>
  <c r="AE29" i="2" s="1"/>
  <c r="Z21" i="2"/>
  <c r="AE22" i="2" s="1"/>
  <c r="F59" i="1" l="1"/>
  <c r="H59" i="1" s="1"/>
  <c r="F54" i="1"/>
  <c r="H54" i="1" s="1"/>
  <c r="F49" i="1"/>
  <c r="H49" i="1" s="1"/>
  <c r="F55" i="1"/>
  <c r="H55" i="1" s="1"/>
  <c r="F50" i="1"/>
  <c r="H50" i="1" s="1"/>
  <c r="F52" i="1"/>
  <c r="H52" i="1" s="1"/>
  <c r="F57" i="1"/>
  <c r="H57" i="1" s="1"/>
  <c r="F48" i="1"/>
  <c r="H48" i="1" s="1"/>
  <c r="F58" i="1"/>
  <c r="H58" i="1" s="1"/>
  <c r="F53" i="1"/>
  <c r="H53" i="1" s="1"/>
  <c r="F56" i="1"/>
  <c r="H56" i="1" s="1"/>
  <c r="F51" i="1"/>
  <c r="H51" i="1" s="1"/>
  <c r="T49" i="1"/>
  <c r="T48" i="1"/>
  <c r="T55" i="1"/>
  <c r="T56" i="1"/>
  <c r="T51" i="1"/>
  <c r="T54" i="1"/>
  <c r="T50" i="1"/>
  <c r="T59" i="1"/>
  <c r="T58" i="1"/>
  <c r="T52" i="1"/>
  <c r="T57" i="1"/>
  <c r="T53" i="1"/>
  <c r="F60" i="1"/>
  <c r="H62" i="1" l="1"/>
  <c r="T47" i="1"/>
  <c r="H60" i="1"/>
  <c r="J65" i="1" l="1"/>
  <c r="F37" i="1"/>
  <c r="G37" i="1" s="1"/>
  <c r="F33" i="1"/>
  <c r="G33" i="1" s="1"/>
  <c r="F36" i="1"/>
  <c r="G36" i="1" s="1"/>
  <c r="F32" i="1"/>
  <c r="G32" i="1" s="1"/>
  <c r="F35" i="1"/>
  <c r="G35" i="1" s="1"/>
  <c r="F31" i="1"/>
  <c r="G31" i="1" s="1"/>
  <c r="F34" i="1"/>
  <c r="G34" i="1" s="1"/>
  <c r="G39" i="1" l="1"/>
  <c r="J39" i="1" s="1"/>
  <c r="G70" i="1" l="1"/>
  <c r="G73" i="1" s="1"/>
  <c r="J92" i="1"/>
  <c r="J96" i="1" s="1"/>
  <c r="J73" i="1" l="1"/>
  <c r="A99" i="1" s="1"/>
  <c r="A96" i="1"/>
</calcChain>
</file>

<file path=xl/comments1.xml><?xml version="1.0" encoding="utf-8"?>
<comments xmlns="http://schemas.openxmlformats.org/spreadsheetml/2006/main">
  <authors>
    <author>Gerwin Frick</author>
  </authors>
  <commentList>
    <comment ref="T47" authorId="0">
      <text>
        <r>
          <rPr>
            <b/>
            <sz val="9"/>
            <color indexed="81"/>
            <rFont val="Segoe UI"/>
            <family val="2"/>
          </rPr>
          <t>Gerwin Frick:</t>
        </r>
        <r>
          <rPr>
            <sz val="9"/>
            <color indexed="81"/>
            <rFont val="Segoe UI"/>
            <family val="2"/>
          </rPr>
          <t xml:space="preserve">
Annahme bei ganzjahresbetrieb 10 Tag nicht in Betrieb (Wasserwechsel / Reinigung)</t>
        </r>
      </text>
    </comment>
    <comment ref="AD47" authorId="0">
      <text>
        <r>
          <rPr>
            <b/>
            <sz val="9"/>
            <color indexed="81"/>
            <rFont val="Segoe UI"/>
            <family val="2"/>
          </rPr>
          <t>Gerwin Frick:</t>
        </r>
        <r>
          <rPr>
            <sz val="9"/>
            <color indexed="81"/>
            <rFont val="Segoe UI"/>
            <family val="2"/>
          </rPr>
          <t xml:space="preserve">
Die molare Verdampfungsenthalpie (in kJ/mol) kann in die spezifische Verdampfungsenthalpie (in kJ/g) umgerechnet werden, indem man sie durch die molare Masse (hier: 18,02 g/mol für Wasser) teilt .
Die molare Verdampfungsenthalpie kann im Temperaturbereich 273-473K (0-200 °C) mit folgender empirischen Beziehung berechnet werden:
Hv [kJ / mol] = 50,09 - 0,9298*(T/1000) - 65,19*(T/1000)^2.</t>
        </r>
      </text>
    </comment>
  </commentList>
</comments>
</file>

<file path=xl/comments2.xml><?xml version="1.0" encoding="utf-8"?>
<comments xmlns="http://schemas.openxmlformats.org/spreadsheetml/2006/main">
  <authors>
    <author>Gerwin Frick</author>
  </authors>
  <commentList>
    <comment ref="Y22" authorId="0">
      <text>
        <r>
          <rPr>
            <b/>
            <sz val="9"/>
            <color indexed="81"/>
            <rFont val="Segoe UI"/>
            <family val="2"/>
          </rPr>
          <t>Gerwin Frick:</t>
        </r>
        <r>
          <rPr>
            <sz val="9"/>
            <color indexed="81"/>
            <rFont val="Segoe UI"/>
            <family val="2"/>
          </rPr>
          <t xml:space="preserve">
Berechnung gegen Erdreich auf Blatt U-Wert!</t>
        </r>
      </text>
    </comment>
    <comment ref="Y29" authorId="0">
      <text>
        <r>
          <rPr>
            <b/>
            <sz val="9"/>
            <color indexed="81"/>
            <rFont val="Segoe UI"/>
            <family val="2"/>
          </rPr>
          <t>Gerwin Frick:</t>
        </r>
        <r>
          <rPr>
            <sz val="9"/>
            <color indexed="81"/>
            <rFont val="Segoe UI"/>
            <family val="2"/>
          </rPr>
          <t xml:space="preserve">
Berechnung gegen Erdreich auf Blatt U-Wert!</t>
        </r>
      </text>
    </comment>
  </commentList>
</comments>
</file>

<file path=xl/sharedStrings.xml><?xml version="1.0" encoding="utf-8"?>
<sst xmlns="http://schemas.openxmlformats.org/spreadsheetml/2006/main" count="1315" uniqueCount="463">
  <si>
    <t>Objek:</t>
  </si>
  <si>
    <t>Hilfsberechnungen:</t>
  </si>
  <si>
    <t>Bilanzierung</t>
  </si>
  <si>
    <t>[kWh/a]</t>
  </si>
  <si>
    <t>Bezeichnung</t>
  </si>
  <si>
    <t>Leistungs-aufnahme 
[kW]</t>
  </si>
  <si>
    <t>Betriebs-stunden [h/Tag]</t>
  </si>
  <si>
    <t>Gesamter Strombedarf:</t>
  </si>
  <si>
    <t>10</t>
  </si>
  <si>
    <t>ja</t>
  </si>
  <si>
    <t>Hallenbad</t>
  </si>
  <si>
    <r>
      <t>[m</t>
    </r>
    <r>
      <rPr>
        <vertAlign val="superscript"/>
        <sz val="10.5"/>
        <rFont val="Calibri"/>
        <family val="2"/>
        <scheme val="minor"/>
      </rPr>
      <t>2</t>
    </r>
    <r>
      <rPr>
        <sz val="10.5"/>
        <rFont val="Calibri"/>
        <family val="2"/>
        <scheme val="minor"/>
      </rPr>
      <t>]</t>
    </r>
  </si>
  <si>
    <t>Gewichtung</t>
  </si>
  <si>
    <t>nein</t>
  </si>
  <si>
    <r>
      <t>[m</t>
    </r>
    <r>
      <rPr>
        <sz val="10.5"/>
        <rFont val="Calibri"/>
        <family val="2"/>
        <scheme val="minor"/>
      </rPr>
      <t>]</t>
    </r>
  </si>
  <si>
    <t>April</t>
  </si>
  <si>
    <t>Mai</t>
  </si>
  <si>
    <t>Juni</t>
  </si>
  <si>
    <t>Juli</t>
  </si>
  <si>
    <t>August</t>
  </si>
  <si>
    <t>September</t>
  </si>
  <si>
    <t>Oktober</t>
  </si>
  <si>
    <t>Klimastation:</t>
  </si>
  <si>
    <t>Adelboden</t>
  </si>
  <si>
    <t>Aigle</t>
  </si>
  <si>
    <t>Altdorf</t>
  </si>
  <si>
    <t>Basel-Binningen</t>
  </si>
  <si>
    <t>Bern  Liebefeld</t>
  </si>
  <si>
    <t>Buchs Aarau</t>
  </si>
  <si>
    <t>Chur</t>
  </si>
  <si>
    <t>Davos</t>
  </si>
  <si>
    <t>Disentis</t>
  </si>
  <si>
    <t>Engelberg</t>
  </si>
  <si>
    <t>Genève</t>
  </si>
  <si>
    <t>Glarus</t>
  </si>
  <si>
    <t>Gr. St. Bernhard</t>
  </si>
  <si>
    <t>Güttingen</t>
  </si>
  <si>
    <t>Interlaken</t>
  </si>
  <si>
    <t>La Chaux-de-Fonds</t>
  </si>
  <si>
    <t>La Frêtaz</t>
  </si>
  <si>
    <t>Locarno-Monti</t>
  </si>
  <si>
    <t>Lugano</t>
  </si>
  <si>
    <t>Luzern</t>
  </si>
  <si>
    <t>Magadino</t>
  </si>
  <si>
    <t>Montana</t>
  </si>
  <si>
    <t>Neuchâtel</t>
  </si>
  <si>
    <t>Payerne</t>
  </si>
  <si>
    <t>Piotta</t>
  </si>
  <si>
    <t>Pully</t>
  </si>
  <si>
    <t>Robbia</t>
  </si>
  <si>
    <t>Rünenberg</t>
  </si>
  <si>
    <t>Samedan</t>
  </si>
  <si>
    <t>San Bernardino</t>
  </si>
  <si>
    <t>St. Gallen</t>
  </si>
  <si>
    <t>Schaffhausen</t>
  </si>
  <si>
    <t>Sion</t>
  </si>
  <si>
    <t>Ulrichen</t>
  </si>
  <si>
    <t>Vaduz</t>
  </si>
  <si>
    <t>Wynau</t>
  </si>
  <si>
    <t>Zermatt</t>
  </si>
  <si>
    <t>Zürich-Kloten</t>
  </si>
  <si>
    <t>Zürich SMA</t>
  </si>
  <si>
    <t>Scuol</t>
  </si>
  <si>
    <t>Lufttemperatur, Mittelwerte °C</t>
  </si>
  <si>
    <t>Jan</t>
  </si>
  <si>
    <t>Feb</t>
  </si>
  <si>
    <t>Mrz</t>
  </si>
  <si>
    <t>Apr</t>
  </si>
  <si>
    <t>Jun</t>
  </si>
  <si>
    <t>Jul</t>
  </si>
  <si>
    <t>Aug</t>
  </si>
  <si>
    <t>Sep</t>
  </si>
  <si>
    <t>Okt</t>
  </si>
  <si>
    <t>Nov</t>
  </si>
  <si>
    <t>Dez</t>
  </si>
  <si>
    <t>Jahr</t>
  </si>
  <si>
    <t>Eigene Werte</t>
  </si>
  <si>
    <t>Januar</t>
  </si>
  <si>
    <t>Februar</t>
  </si>
  <si>
    <t>März</t>
  </si>
  <si>
    <t>November</t>
  </si>
  <si>
    <t>Dezember</t>
  </si>
  <si>
    <t>geschützt</t>
  </si>
  <si>
    <t>teilgeschützt</t>
  </si>
  <si>
    <t>frei</t>
  </si>
  <si>
    <t>Mittelwert</t>
  </si>
  <si>
    <t>Temperatur</t>
  </si>
  <si>
    <r>
      <t>Wassergehalt x</t>
    </r>
    <r>
      <rPr>
        <vertAlign val="subscript"/>
        <sz val="10.5"/>
        <rFont val="Calibri"/>
        <family val="2"/>
        <scheme val="minor"/>
      </rPr>
      <t>s</t>
    </r>
    <r>
      <rPr>
        <sz val="10.5"/>
        <rFont val="Calibri"/>
        <family val="2"/>
        <scheme val="minor"/>
      </rPr>
      <t xml:space="preserve"> g/kg</t>
    </r>
  </si>
  <si>
    <r>
      <t>Dampfdruck p</t>
    </r>
    <r>
      <rPr>
        <vertAlign val="subscript"/>
        <sz val="10.5"/>
        <rFont val="Calibri"/>
        <family val="2"/>
        <scheme val="minor"/>
      </rPr>
      <t xml:space="preserve">s </t>
    </r>
    <r>
      <rPr>
        <sz val="10.5"/>
        <rFont val="Calibri"/>
        <family val="2"/>
        <scheme val="minor"/>
      </rPr>
      <t>hPa</t>
    </r>
  </si>
  <si>
    <t>Dichte m3/kg</t>
  </si>
  <si>
    <t>Luft</t>
  </si>
  <si>
    <r>
      <t>Wassergehalt x</t>
    </r>
    <r>
      <rPr>
        <vertAlign val="subscript"/>
        <sz val="10.5"/>
        <rFont val="Calibri"/>
        <family val="2"/>
        <scheme val="minor"/>
      </rPr>
      <t>s</t>
    </r>
    <r>
      <rPr>
        <sz val="10.5"/>
        <rFont val="Calibri"/>
        <family val="2"/>
        <scheme val="minor"/>
      </rPr>
      <t xml:space="preserve"> g/m3</t>
    </r>
  </si>
  <si>
    <t>Wassergehalt der gesättigten Luft an der Wasseroberfläche X'' [kg/kg]</t>
  </si>
  <si>
    <t>Wassergehalt der Luft bei 60% r.F. X' [kg/kg]</t>
  </si>
  <si>
    <t>Wassergehalt der Luft bei 70% r.F. X' [kg/kg]</t>
  </si>
  <si>
    <t>T-Raum bzw. T-Aussenluft [°C]</t>
  </si>
  <si>
    <t>T-Becken[°C]</t>
  </si>
  <si>
    <t>Verdampfungswärme bei T-Becken [Wh/kg]</t>
  </si>
  <si>
    <t>Wand</t>
  </si>
  <si>
    <r>
      <t>U</t>
    </r>
    <r>
      <rPr>
        <vertAlign val="subscript"/>
        <sz val="10.5"/>
        <rFont val="Calibri"/>
        <family val="2"/>
        <scheme val="minor"/>
      </rPr>
      <t>WG0</t>
    </r>
    <r>
      <rPr>
        <sz val="10.5"/>
        <rFont val="Calibri"/>
        <family val="2"/>
        <scheme val="minor"/>
      </rPr>
      <t xml:space="preserve"> bzw. U</t>
    </r>
    <r>
      <rPr>
        <vertAlign val="subscript"/>
        <sz val="10.5"/>
        <rFont val="Calibri"/>
        <family val="2"/>
        <scheme val="minor"/>
      </rPr>
      <t>FG0</t>
    </r>
    <r>
      <rPr>
        <sz val="10.5"/>
        <rFont val="Calibri"/>
        <family val="2"/>
        <scheme val="minor"/>
      </rPr>
      <t xml:space="preserve"> in W/m</t>
    </r>
    <r>
      <rPr>
        <vertAlign val="superscript"/>
        <sz val="10.5"/>
        <rFont val="Calibri"/>
        <family val="2"/>
        <scheme val="minor"/>
      </rPr>
      <t>2</t>
    </r>
    <r>
      <rPr>
        <sz val="10.5"/>
        <rFont val="Calibri"/>
        <family val="2"/>
        <scheme val="minor"/>
      </rPr>
      <t>K</t>
    </r>
  </si>
  <si>
    <t>Boden</t>
  </si>
  <si>
    <r>
      <t>A</t>
    </r>
    <r>
      <rPr>
        <vertAlign val="subscript"/>
        <sz val="10.5"/>
        <rFont val="Calibri"/>
        <family val="2"/>
        <scheme val="minor"/>
      </rPr>
      <t>FG</t>
    </r>
    <r>
      <rPr>
        <sz val="10.5"/>
        <rFont val="Calibri"/>
        <family val="2"/>
        <scheme val="minor"/>
      </rPr>
      <t>/P</t>
    </r>
    <r>
      <rPr>
        <vertAlign val="subscript"/>
        <sz val="10.5"/>
        <rFont val="Calibri"/>
        <family val="2"/>
        <scheme val="minor"/>
      </rPr>
      <t>FG</t>
    </r>
    <r>
      <rPr>
        <sz val="10.5"/>
        <rFont val="Calibri"/>
        <family val="2"/>
        <scheme val="minor"/>
      </rPr>
      <t xml:space="preserve"> = 10m</t>
    </r>
  </si>
  <si>
    <r>
      <t>A</t>
    </r>
    <r>
      <rPr>
        <vertAlign val="subscript"/>
        <sz val="10.5"/>
        <rFont val="Calibri"/>
        <family val="2"/>
        <scheme val="minor"/>
      </rPr>
      <t>FG</t>
    </r>
    <r>
      <rPr>
        <sz val="10.5"/>
        <rFont val="Calibri"/>
        <family val="2"/>
        <scheme val="minor"/>
      </rPr>
      <t>/P</t>
    </r>
    <r>
      <rPr>
        <vertAlign val="subscript"/>
        <sz val="10.5"/>
        <rFont val="Calibri"/>
        <family val="2"/>
        <scheme val="minor"/>
      </rPr>
      <t>FG</t>
    </r>
    <r>
      <rPr>
        <sz val="10.5"/>
        <rFont val="Calibri"/>
        <family val="2"/>
        <scheme val="minor"/>
      </rPr>
      <t xml:space="preserve"> = 5m</t>
    </r>
  </si>
  <si>
    <r>
      <t>A</t>
    </r>
    <r>
      <rPr>
        <vertAlign val="subscript"/>
        <sz val="10.5"/>
        <rFont val="Calibri"/>
        <family val="2"/>
        <scheme val="minor"/>
      </rPr>
      <t>FG</t>
    </r>
    <r>
      <rPr>
        <sz val="10.5"/>
        <rFont val="Calibri"/>
        <family val="2"/>
        <scheme val="minor"/>
      </rPr>
      <t>/P</t>
    </r>
    <r>
      <rPr>
        <vertAlign val="subscript"/>
        <sz val="10.5"/>
        <rFont val="Calibri"/>
        <family val="2"/>
        <scheme val="minor"/>
      </rPr>
      <t>FG</t>
    </r>
    <r>
      <rPr>
        <sz val="10.5"/>
        <rFont val="Calibri"/>
        <family val="2"/>
        <scheme val="minor"/>
      </rPr>
      <t xml:space="preserve"> = 2m</t>
    </r>
  </si>
  <si>
    <r>
      <t>Reduktionsfaktoren b</t>
    </r>
    <r>
      <rPr>
        <vertAlign val="subscript"/>
        <sz val="10.5"/>
        <rFont val="Calibri"/>
        <family val="2"/>
        <scheme val="minor"/>
      </rPr>
      <t>GW</t>
    </r>
    <r>
      <rPr>
        <sz val="10.5"/>
        <rFont val="Calibri"/>
        <family val="2"/>
        <scheme val="minor"/>
      </rPr>
      <t xml:space="preserve"> bzw. b</t>
    </r>
    <r>
      <rPr>
        <vertAlign val="subscript"/>
        <sz val="10.5"/>
        <rFont val="Calibri"/>
        <family val="2"/>
        <scheme val="minor"/>
      </rPr>
      <t>GF</t>
    </r>
    <r>
      <rPr>
        <sz val="10.5"/>
        <rFont val="Calibri"/>
        <family val="2"/>
        <scheme val="minor"/>
      </rPr>
      <t xml:space="preserve"> für Wärmeverluste gegen Erdreich
(Transmission Wand / Boden gegen Erdreich nach SIA 380/1)</t>
    </r>
  </si>
  <si>
    <r>
      <t>A</t>
    </r>
    <r>
      <rPr>
        <vertAlign val="subscript"/>
        <sz val="10.5"/>
        <rFont val="Calibri"/>
        <family val="2"/>
        <scheme val="minor"/>
      </rPr>
      <t>FG</t>
    </r>
    <r>
      <rPr>
        <sz val="10.5"/>
        <rFont val="Calibri"/>
        <family val="2"/>
        <scheme val="minor"/>
      </rPr>
      <t>/P</t>
    </r>
    <r>
      <rPr>
        <vertAlign val="subscript"/>
        <sz val="10.5"/>
        <rFont val="Calibri"/>
        <family val="2"/>
        <scheme val="minor"/>
      </rPr>
      <t>FG</t>
    </r>
    <r>
      <rPr>
        <sz val="10.5"/>
        <rFont val="Calibri"/>
        <family val="2"/>
        <scheme val="minor"/>
      </rPr>
      <t>:</t>
    </r>
  </si>
  <si>
    <t>Wärmeübergangskoeffizienten:</t>
  </si>
  <si>
    <t>Objekt:</t>
  </si>
  <si>
    <t>Baustoffe:</t>
  </si>
  <si>
    <t>Verfasser:</t>
  </si>
  <si>
    <t>Schicht Nr.</t>
  </si>
  <si>
    <t>Material, Baustoff</t>
  </si>
  <si>
    <t>d</t>
  </si>
  <si>
    <t>R</t>
  </si>
  <si>
    <t>[m]</t>
  </si>
  <si>
    <t xml:space="preserve"> -</t>
  </si>
  <si>
    <t>Wärmeübergang innen</t>
  </si>
  <si>
    <t>Keramische Platten</t>
  </si>
  <si>
    <t>Zementmörtel</t>
  </si>
  <si>
    <t>Stahlbeton</t>
  </si>
  <si>
    <t>Misaporschüttung</t>
  </si>
  <si>
    <t>Wärmeübergang aussen</t>
  </si>
  <si>
    <t>unendlich</t>
  </si>
  <si>
    <t>Bezeichung des Bauteils</t>
  </si>
  <si>
    <t>Klinkerplatten</t>
  </si>
  <si>
    <t>Polystyrol (PS) expandiert 0.04</t>
  </si>
  <si>
    <t>Aussenputz</t>
  </si>
  <si>
    <t>Innenputz</t>
  </si>
  <si>
    <t>Polystyrol (PS) expandiert 0.036</t>
  </si>
  <si>
    <t>Steinwolle 0.05</t>
  </si>
  <si>
    <t>Steinwolle 0.045</t>
  </si>
  <si>
    <t>Steinwolle 0.040</t>
  </si>
  <si>
    <t>Steinwolle 0.035</t>
  </si>
  <si>
    <t>Steinwolle lose 0.045</t>
  </si>
  <si>
    <t>Steinwolle lose 0.04</t>
  </si>
  <si>
    <t>Glasfasern 0.05</t>
  </si>
  <si>
    <t>Glasfasern 0.045</t>
  </si>
  <si>
    <t>Glasfasern 0.04</t>
  </si>
  <si>
    <t>Glasfasern 0.035</t>
  </si>
  <si>
    <t>Glasfasern lose 0.045</t>
  </si>
  <si>
    <t>Glasfasern lose 0.04</t>
  </si>
  <si>
    <t>Mineralfasern gepresst</t>
  </si>
  <si>
    <t>Schilfrohrplatten</t>
  </si>
  <si>
    <t>Kokosfasermatten</t>
  </si>
  <si>
    <t>Korkplatten</t>
  </si>
  <si>
    <t>Korkschrotmatten</t>
  </si>
  <si>
    <t>Lose (Korkschrot exp.)</t>
  </si>
  <si>
    <t>Schaumglas 0.040</t>
  </si>
  <si>
    <t>Schaumglas 0.044</t>
  </si>
  <si>
    <t>Schaumglas 0.048</t>
  </si>
  <si>
    <t>Schaumglas 0.052</t>
  </si>
  <si>
    <t>Perlit, mit org. Fasern (Platten gepr.)</t>
  </si>
  <si>
    <t>Lose (Perlit,Vermiculit)</t>
  </si>
  <si>
    <t>Polystyrol (PS) expandiert 0.038</t>
  </si>
  <si>
    <t>Polystyrol (PS) extrudiert 0.028</t>
  </si>
  <si>
    <t>Polystyrol (PS) extrudiert 0.032</t>
  </si>
  <si>
    <t>Polystyrol (PS) extrudiert 0.036</t>
  </si>
  <si>
    <t>Polyurethan (PUR) 0.02</t>
  </si>
  <si>
    <t>Polyurethan (PUR) 0.024</t>
  </si>
  <si>
    <t>Polyurethan (PUR) 0.028</t>
  </si>
  <si>
    <t>Übrige org. Schaumstoffe 0.04</t>
  </si>
  <si>
    <t>Übrige org. Schaumstoffe 0.045</t>
  </si>
  <si>
    <t>Übrige org. Schaumstoffe 0.05</t>
  </si>
  <si>
    <t>Holzwerkstoffe</t>
  </si>
  <si>
    <t>Holzfaserplatten 0.048</t>
  </si>
  <si>
    <t>Holzfaserplatten 0.056</t>
  </si>
  <si>
    <t>Bitumierte Holzfaserplatte</t>
  </si>
  <si>
    <t>Holzwolleleichtbauplatte 0.085</t>
  </si>
  <si>
    <t>Holzwolleleichtbauplatte 0.09</t>
  </si>
  <si>
    <t>Modulbackstein Einstein</t>
  </si>
  <si>
    <t>Modulbackstein Verband</t>
  </si>
  <si>
    <t>Isolierbackstein</t>
  </si>
  <si>
    <t>Tonisolierbackstein</t>
  </si>
  <si>
    <t>Sichtbackstein</t>
  </si>
  <si>
    <t>Kaminstein</t>
  </si>
  <si>
    <t>BN 25</t>
  </si>
  <si>
    <t>Hohlblocksteine (zementgeb. Holzspan-Leichtbaustoff)</t>
  </si>
  <si>
    <t>Klinkersteine</t>
  </si>
  <si>
    <t>Kalksandsteine 0.8</t>
  </si>
  <si>
    <t>Kalksandsteine 1.0</t>
  </si>
  <si>
    <t>Kalksandsteine 1.1</t>
  </si>
  <si>
    <t>Zementsteine</t>
  </si>
  <si>
    <t>Zementblocksteine</t>
  </si>
  <si>
    <t>Holzspan-Leichtbaustoffe</t>
  </si>
  <si>
    <t>Gasbetonsteine 0.2</t>
  </si>
  <si>
    <t>Gasbetonsteine 0.16</t>
  </si>
  <si>
    <t>Gasbetonsteine 0.18</t>
  </si>
  <si>
    <t>Gasbetonsteine 0.21</t>
  </si>
  <si>
    <t>Kristalline, metamorphe Gesteine (Granit, Basalt, Marmor)</t>
  </si>
  <si>
    <t>Sedimentgesteine (Sand, Muschelkalk, Nagelfluh)</t>
  </si>
  <si>
    <t>Sandiger Boden, naturfeucht</t>
  </si>
  <si>
    <t>Bindiger Boden naturfeucht</t>
  </si>
  <si>
    <t>Lehm massiv</t>
  </si>
  <si>
    <t>Sand, Kies</t>
  </si>
  <si>
    <t>Blähton 0.11</t>
  </si>
  <si>
    <t>Blähton 0.17</t>
  </si>
  <si>
    <t>Blähtonbeton 0.3</t>
  </si>
  <si>
    <t>Blähtonbeton 0.5</t>
  </si>
  <si>
    <t>Blähtonbeton 0.7</t>
  </si>
  <si>
    <t>Blähtonbeton 1.0</t>
  </si>
  <si>
    <t>Kalkmörtel</t>
  </si>
  <si>
    <t>Kalkzementmörtel</t>
  </si>
  <si>
    <t>Gipsmörtel, Gipsputz 0.58</t>
  </si>
  <si>
    <t>Gipsmörtel, Gipsputz 0.7</t>
  </si>
  <si>
    <t>Gipsplatten</t>
  </si>
  <si>
    <t>Gipskartonplatten</t>
  </si>
  <si>
    <t>Faserzementplatten einseitig glatt</t>
  </si>
  <si>
    <t>Isolierplatten aus zementgeb. Holzspan-Leichtbaustoff</t>
  </si>
  <si>
    <t>Holzfaserplatte porös</t>
  </si>
  <si>
    <t>Holzfaserplatte halbhart</t>
  </si>
  <si>
    <t>Holzwollplatte mineralisiert</t>
  </si>
  <si>
    <t>Holzfaserplatte hart</t>
  </si>
  <si>
    <t>Holzspanplatte 0.15</t>
  </si>
  <si>
    <t>Holzspanplatte 0.44</t>
  </si>
  <si>
    <t>Fichte, Tanne</t>
  </si>
  <si>
    <t>Buche</t>
  </si>
  <si>
    <t>Eiche</t>
  </si>
  <si>
    <t>Stahl</t>
  </si>
  <si>
    <t>Aluminium</t>
  </si>
  <si>
    <t>Glas</t>
  </si>
  <si>
    <t>Wasser 10°C</t>
  </si>
  <si>
    <t>Eis 0°C</t>
  </si>
  <si>
    <t>Schnee 0°C 0.05</t>
  </si>
  <si>
    <t>Schnee 0°C 0.58</t>
  </si>
  <si>
    <t>Keramisches Mosaik</t>
  </si>
  <si>
    <t>Marmorplatten</t>
  </si>
  <si>
    <t>Betonplatten</t>
  </si>
  <si>
    <t>Gussasphalt</t>
  </si>
  <si>
    <t>PVC Bahnen</t>
  </si>
  <si>
    <t>PVC Filz</t>
  </si>
  <si>
    <t>Holzboden (Kiefer)</t>
  </si>
  <si>
    <t>Dampfsperrre</t>
  </si>
  <si>
    <t>Polymerbitumenbahn 3-lagig</t>
  </si>
  <si>
    <t>Filterflies</t>
  </si>
  <si>
    <t>Extensivbegrünung</t>
  </si>
  <si>
    <t>Elastische Schicht (Polyurethan)</t>
  </si>
  <si>
    <t>Luftschicht WS aufwärts 5mm</t>
  </si>
  <si>
    <t>Luftschicht WS aufwärts 7mm</t>
  </si>
  <si>
    <t>Luftschicht WS aufwärts 10mm</t>
  </si>
  <si>
    <t>Luftschicht WS aufwärts 15mm</t>
  </si>
  <si>
    <t>Luftschicht WS aufwärts 25mm</t>
  </si>
  <si>
    <t>Luftschicht WS aufwärts 50mm</t>
  </si>
  <si>
    <t>Luftschicht WS aufwärts 100mm</t>
  </si>
  <si>
    <t>Luftschicht WS aufwärts 300mm</t>
  </si>
  <si>
    <t>Luftschicht WS abwärts 5mm</t>
  </si>
  <si>
    <t>Luftschicht WS abwärts 7mm</t>
  </si>
  <si>
    <t>Luftschicht WS abwärts 10mm</t>
  </si>
  <si>
    <t>Luftschicht WS abwärts 15mm</t>
  </si>
  <si>
    <t>Luftschicht WS abwärts 25mm</t>
  </si>
  <si>
    <t>Luftschicht WS abwärts 50mm</t>
  </si>
  <si>
    <t>Luftschicht WS abwärts 100mm</t>
  </si>
  <si>
    <t>Luftschicht WS abwärts 300mm</t>
  </si>
  <si>
    <t>Luftschicht WS Horizontal 5mm</t>
  </si>
  <si>
    <t>Luftschicht WS Horizontal 7mm</t>
  </si>
  <si>
    <t>Luftschicht WS Horizontal 10mm</t>
  </si>
  <si>
    <t>Luftschicht WS Horizontal 15mm</t>
  </si>
  <si>
    <t>Luftschicht WS Horizontal 25mm</t>
  </si>
  <si>
    <t>Luftschicht WS Horizontal 50mm</t>
  </si>
  <si>
    <t>Luftschicht WS Horizontal 100mm</t>
  </si>
  <si>
    <t>Luftschicht WS Horizontal 300mm</t>
  </si>
  <si>
    <t>a / l</t>
  </si>
  <si>
    <r>
      <t>[W/m</t>
    </r>
    <r>
      <rPr>
        <vertAlign val="superscript"/>
        <sz val="8"/>
        <rFont val="Calibri"/>
        <family val="2"/>
        <scheme val="minor"/>
      </rPr>
      <t>2</t>
    </r>
    <r>
      <rPr>
        <sz val="8"/>
        <rFont val="Calibri"/>
        <family val="2"/>
        <scheme val="minor"/>
      </rPr>
      <t>K]/[W/mK]</t>
    </r>
  </si>
  <si>
    <r>
      <t>[m</t>
    </r>
    <r>
      <rPr>
        <vertAlign val="superscript"/>
        <sz val="8"/>
        <rFont val="Calibri"/>
        <family val="2"/>
        <scheme val="minor"/>
      </rPr>
      <t>2</t>
    </r>
    <r>
      <rPr>
        <sz val="8"/>
        <rFont val="Calibri"/>
        <family val="2"/>
        <scheme val="minor"/>
      </rPr>
      <t>K/W]</t>
    </r>
  </si>
  <si>
    <t>Schwimmbadwände</t>
  </si>
  <si>
    <t>Schwimmbad Boden</t>
  </si>
  <si>
    <t>U-Wertberechung Schwimmbad</t>
  </si>
  <si>
    <t>Bauteil auf Erdreicht</t>
  </si>
  <si>
    <t>Tiefe UK Bodenplatte unter OK Erdreich [m]</t>
  </si>
  <si>
    <t>Tage</t>
  </si>
  <si>
    <t>Hilfsberechnung</t>
  </si>
  <si>
    <t>Schwimmbadtyp:</t>
  </si>
  <si>
    <t>(Mittelwert über die Badebtriebsmonate beim Freibad)</t>
  </si>
  <si>
    <t>Strombedarf</t>
  </si>
  <si>
    <t>Betriebstage je Jahr</t>
  </si>
  <si>
    <r>
      <t>[kWh/m</t>
    </r>
    <r>
      <rPr>
        <vertAlign val="superscript"/>
        <sz val="10.5"/>
        <rFont val="Calibri"/>
        <family val="2"/>
        <scheme val="minor"/>
      </rPr>
      <t>2</t>
    </r>
    <r>
      <rPr>
        <sz val="10.5"/>
        <rFont val="Calibri"/>
        <family val="2"/>
        <scheme val="minor"/>
      </rPr>
      <t>a]</t>
    </r>
  </si>
  <si>
    <t>Energiebezugsfläche (EBF)</t>
  </si>
  <si>
    <t>aussenliegendes Schwimmbad</t>
  </si>
  <si>
    <t>Parzelle:</t>
  </si>
  <si>
    <t>Fachplaner:</t>
  </si>
  <si>
    <t>Strasse Hausnummer:</t>
  </si>
  <si>
    <t>PLZ Gemeinde:</t>
  </si>
  <si>
    <t>Telefon / E-Mail:</t>
  </si>
  <si>
    <t>Firma / Sachbearbeiter:</t>
  </si>
  <si>
    <t>ENERGIEBILANZPRÜFUNG SCHWIMMBÄDER nach EnV Art. 7a</t>
  </si>
  <si>
    <t>Innenmass</t>
  </si>
  <si>
    <t>Aussenmass</t>
  </si>
  <si>
    <t>Länge:</t>
  </si>
  <si>
    <t>Breite:</t>
  </si>
  <si>
    <t>Höhe:</t>
  </si>
  <si>
    <t>Feuchtegehalt Mischungsverhältnis Mittelwert g/kg</t>
  </si>
  <si>
    <r>
      <t xml:space="preserve">Abdeckung
</t>
    </r>
    <r>
      <rPr>
        <sz val="8"/>
        <rFont val="Calibri"/>
        <family val="2"/>
        <scheme val="minor"/>
      </rPr>
      <t>(Red. der Verluste Q</t>
    </r>
    <r>
      <rPr>
        <vertAlign val="subscript"/>
        <sz val="8"/>
        <rFont val="Calibri"/>
        <family val="2"/>
        <scheme val="minor"/>
      </rPr>
      <t>V</t>
    </r>
    <r>
      <rPr>
        <sz val="8"/>
        <rFont val="Calibri"/>
        <family val="2"/>
        <scheme val="minor"/>
      </rPr>
      <t>/Q</t>
    </r>
    <r>
      <rPr>
        <vertAlign val="subscript"/>
        <sz val="8"/>
        <rFont val="Calibri"/>
        <family val="2"/>
        <scheme val="minor"/>
      </rPr>
      <t>K</t>
    </r>
    <r>
      <rPr>
        <sz val="8"/>
        <rFont val="Calibri"/>
        <family val="2"/>
        <scheme val="minor"/>
      </rPr>
      <t>/Q</t>
    </r>
    <r>
      <rPr>
        <vertAlign val="subscript"/>
        <sz val="8"/>
        <rFont val="Calibri"/>
        <family val="2"/>
        <scheme val="minor"/>
      </rPr>
      <t>S</t>
    </r>
    <r>
      <rPr>
        <sz val="8"/>
        <rFont val="Calibri"/>
        <family val="2"/>
        <scheme val="minor"/>
      </rPr>
      <t xml:space="preserve"> um 85%)</t>
    </r>
  </si>
  <si>
    <r>
      <t>Verdunstungs-verluste Q</t>
    </r>
    <r>
      <rPr>
        <vertAlign val="subscript"/>
        <sz val="10.5"/>
        <rFont val="Calibri"/>
        <family val="2"/>
        <scheme val="minor"/>
      </rPr>
      <t>V</t>
    </r>
    <r>
      <rPr>
        <sz val="10.5"/>
        <rFont val="Calibri"/>
        <family val="2"/>
        <scheme val="minor"/>
      </rPr>
      <t xml:space="preserve">
[W/m</t>
    </r>
    <r>
      <rPr>
        <vertAlign val="superscript"/>
        <sz val="10.5"/>
        <rFont val="Calibri"/>
        <family val="2"/>
        <scheme val="minor"/>
      </rPr>
      <t>2</t>
    </r>
    <r>
      <rPr>
        <sz val="10.5"/>
        <rFont val="Calibri"/>
        <family val="2"/>
        <scheme val="minor"/>
      </rPr>
      <t>]</t>
    </r>
  </si>
  <si>
    <r>
      <t>Konvektions-verluste/-gewinne Q</t>
    </r>
    <r>
      <rPr>
        <vertAlign val="subscript"/>
        <sz val="10.5"/>
        <rFont val="Calibri"/>
        <family val="2"/>
        <scheme val="minor"/>
      </rPr>
      <t>K</t>
    </r>
    <r>
      <rPr>
        <sz val="10.5"/>
        <rFont val="Calibri"/>
        <family val="2"/>
        <scheme val="minor"/>
      </rPr>
      <t xml:space="preserve"> [W/m</t>
    </r>
    <r>
      <rPr>
        <vertAlign val="superscript"/>
        <sz val="10.5"/>
        <rFont val="Calibri"/>
        <family val="2"/>
        <scheme val="minor"/>
      </rPr>
      <t>2</t>
    </r>
    <r>
      <rPr>
        <sz val="10.5"/>
        <rFont val="Calibri"/>
        <family val="2"/>
        <scheme val="minor"/>
      </rPr>
      <t>]</t>
    </r>
  </si>
  <si>
    <t>U-Wert Wand:</t>
  </si>
  <si>
    <t>W/m2K</t>
  </si>
  <si>
    <t>U-Wert Boden:</t>
  </si>
  <si>
    <t>(Index für Sverweis Wand)</t>
  </si>
  <si>
    <t>Index Wand</t>
  </si>
  <si>
    <t>Index Boden</t>
  </si>
  <si>
    <t>Index</t>
  </si>
  <si>
    <t xml:space="preserve">Minimum Boden 1 </t>
  </si>
  <si>
    <t>Minimum Boden 2</t>
  </si>
  <si>
    <t>Tiefe UK Bodenplatte unter OK Erdreich:</t>
  </si>
  <si>
    <t>m</t>
  </si>
  <si>
    <t>Schwimmbadwände:</t>
  </si>
  <si>
    <t>gegen Erdreich</t>
  </si>
  <si>
    <t>gegen beheizt</t>
  </si>
  <si>
    <t>gegen unbeheizt</t>
  </si>
  <si>
    <t>Schwimmbadboden:</t>
  </si>
  <si>
    <t>Unbeheizter Raum ist ganz im Erdreich</t>
  </si>
  <si>
    <t>Unbeheizter Raum ist teilweise/ganz über dem Erdreich</t>
  </si>
  <si>
    <t/>
  </si>
  <si>
    <r>
      <t>R</t>
    </r>
    <r>
      <rPr>
        <vertAlign val="subscript"/>
        <sz val="10.5"/>
        <rFont val="Calibri"/>
        <family val="2"/>
        <scheme val="minor"/>
      </rPr>
      <t xml:space="preserve">total </t>
    </r>
    <r>
      <rPr>
        <sz val="10.5"/>
        <rFont val="Calibri"/>
        <family val="2"/>
        <scheme val="minor"/>
      </rPr>
      <t>=</t>
    </r>
  </si>
  <si>
    <r>
      <t xml:space="preserve">U-Wert </t>
    </r>
    <r>
      <rPr>
        <sz val="10.5"/>
        <rFont val="Calibri"/>
        <family val="2"/>
        <scheme val="minor"/>
      </rPr>
      <t>= 1/R</t>
    </r>
    <r>
      <rPr>
        <vertAlign val="subscript"/>
        <sz val="10.5"/>
        <rFont val="Calibri"/>
        <family val="2"/>
        <scheme val="minor"/>
      </rPr>
      <t>total</t>
    </r>
    <r>
      <rPr>
        <sz val="10.5"/>
        <rFont val="Calibri"/>
        <family val="2"/>
        <scheme val="minor"/>
      </rPr>
      <t xml:space="preserve"> [W/m</t>
    </r>
    <r>
      <rPr>
        <vertAlign val="superscript"/>
        <sz val="10.5"/>
        <rFont val="Calibri"/>
        <family val="2"/>
        <scheme val="minor"/>
      </rPr>
      <t>2</t>
    </r>
    <r>
      <rPr>
        <sz val="10.5"/>
        <rFont val="Calibri"/>
        <family val="2"/>
        <scheme val="minor"/>
      </rPr>
      <t xml:space="preserve">K] </t>
    </r>
    <r>
      <rPr>
        <b/>
        <sz val="10.5"/>
        <rFont val="Calibri"/>
        <family val="2"/>
        <scheme val="minor"/>
      </rPr>
      <t>=</t>
    </r>
  </si>
  <si>
    <t>Kellerraum teilweise oder ganz über dem Erdreich</t>
  </si>
  <si>
    <t>Kellerraum ganz im Erdreich</t>
  </si>
  <si>
    <r>
      <t>b</t>
    </r>
    <r>
      <rPr>
        <vertAlign val="subscript"/>
        <sz val="10.5"/>
        <rFont val="Calibri"/>
        <family val="2"/>
        <scheme val="minor"/>
      </rPr>
      <t>uW</t>
    </r>
    <r>
      <rPr>
        <sz val="10.5"/>
        <rFont val="Calibri"/>
        <family val="2"/>
        <scheme val="minor"/>
      </rPr>
      <t xml:space="preserve"> bzw. b</t>
    </r>
    <r>
      <rPr>
        <vertAlign val="subscript"/>
        <sz val="10.5"/>
        <rFont val="Calibri"/>
        <family val="2"/>
        <scheme val="minor"/>
      </rPr>
      <t>uF</t>
    </r>
  </si>
  <si>
    <r>
      <t>b-Faktor Wand b</t>
    </r>
    <r>
      <rPr>
        <b/>
        <vertAlign val="subscript"/>
        <sz val="10.5"/>
        <rFont val="Calibri"/>
        <family val="2"/>
        <scheme val="minor"/>
      </rPr>
      <t>W</t>
    </r>
    <r>
      <rPr>
        <b/>
        <sz val="10.5"/>
        <rFont val="Calibri"/>
        <family val="2"/>
        <scheme val="minor"/>
      </rPr>
      <t>:</t>
    </r>
  </si>
  <si>
    <r>
      <t>b-Faktor Boden b</t>
    </r>
    <r>
      <rPr>
        <b/>
        <vertAlign val="subscript"/>
        <sz val="10.5"/>
        <rFont val="Calibri"/>
        <family val="2"/>
        <scheme val="minor"/>
      </rPr>
      <t>F</t>
    </r>
    <r>
      <rPr>
        <b/>
        <sz val="10.5"/>
        <rFont val="Calibri"/>
        <family val="2"/>
        <scheme val="minor"/>
      </rPr>
      <t>:</t>
    </r>
  </si>
  <si>
    <t>Sättigungsdampfdruck</t>
  </si>
  <si>
    <t>Pa</t>
  </si>
  <si>
    <r>
      <t>Transmissions-verluste Q</t>
    </r>
    <r>
      <rPr>
        <vertAlign val="subscript"/>
        <sz val="10.5"/>
        <rFont val="Calibri"/>
        <family val="2"/>
        <scheme val="minor"/>
      </rPr>
      <t>T</t>
    </r>
    <r>
      <rPr>
        <sz val="10.5"/>
        <rFont val="Calibri"/>
        <family val="2"/>
        <scheme val="minor"/>
      </rPr>
      <t xml:space="preserve">
[W/m</t>
    </r>
    <r>
      <rPr>
        <vertAlign val="superscript"/>
        <sz val="10.5"/>
        <rFont val="Calibri"/>
        <family val="2"/>
        <scheme val="minor"/>
      </rPr>
      <t>2</t>
    </r>
    <r>
      <rPr>
        <sz val="10.5"/>
        <rFont val="Calibri"/>
        <family val="2"/>
        <scheme val="minor"/>
      </rPr>
      <t>]</t>
    </r>
  </si>
  <si>
    <t>Wasser-oberfläche</t>
  </si>
  <si>
    <t>[°C]</t>
  </si>
  <si>
    <t>Frischwasser-temperatur</t>
  </si>
  <si>
    <t>Badebetrieb je Tag</t>
  </si>
  <si>
    <t>[h]</t>
  </si>
  <si>
    <t>Schwimmbad-wassertemperatur</t>
  </si>
  <si>
    <t>Globalstrahlung horizontal [MJ/m2]</t>
  </si>
  <si>
    <r>
      <t>Abstrahlungs-verluste Q</t>
    </r>
    <r>
      <rPr>
        <vertAlign val="subscript"/>
        <sz val="10.5"/>
        <rFont val="Calibri"/>
        <family val="2"/>
        <scheme val="minor"/>
      </rPr>
      <t>S</t>
    </r>
    <r>
      <rPr>
        <sz val="10.5"/>
        <rFont val="Calibri"/>
        <family val="2"/>
        <scheme val="minor"/>
      </rPr>
      <t xml:space="preserve"> [W/m2]</t>
    </r>
  </si>
  <si>
    <r>
      <t>Solare Wärme-gewinne Q</t>
    </r>
    <r>
      <rPr>
        <vertAlign val="subscript"/>
        <sz val="10.5"/>
        <rFont val="Calibri"/>
        <family val="2"/>
        <scheme val="minor"/>
      </rPr>
      <t>G</t>
    </r>
    <r>
      <rPr>
        <sz val="10.5"/>
        <rFont val="Calibri"/>
        <family val="2"/>
        <scheme val="minor"/>
      </rPr>
      <t xml:space="preserve"> [W/m2]</t>
    </r>
  </si>
  <si>
    <t>Grenzschichtfeuchtigkeit</t>
  </si>
  <si>
    <t>kJ</t>
  </si>
  <si>
    <t>kJ/kgK</t>
  </si>
  <si>
    <r>
      <t>Wärmekapazität Luft c</t>
    </r>
    <r>
      <rPr>
        <vertAlign val="subscript"/>
        <sz val="10.5"/>
        <rFont val="Calibri"/>
        <family val="2"/>
        <scheme val="minor"/>
      </rPr>
      <t>L</t>
    </r>
  </si>
  <si>
    <r>
      <t>Wärmekapazität Wasserdampf c</t>
    </r>
    <r>
      <rPr>
        <vertAlign val="subscript"/>
        <sz val="10.5"/>
        <rFont val="Calibri"/>
        <family val="2"/>
        <scheme val="minor"/>
      </rPr>
      <t>D</t>
    </r>
  </si>
  <si>
    <r>
      <t>Verdampfungswärme r</t>
    </r>
    <r>
      <rPr>
        <vertAlign val="subscript"/>
        <sz val="10.5"/>
        <rFont val="Calibri"/>
        <family val="2"/>
        <scheme val="minor"/>
      </rPr>
      <t>D</t>
    </r>
  </si>
  <si>
    <t>Feuchtegehalt in der Luft im Mittel
[g/kg]</t>
  </si>
  <si>
    <t>Luftzustand in der Aussenluft</t>
  </si>
  <si>
    <r>
      <t>Qsolar, horizontal
[kWh/m</t>
    </r>
    <r>
      <rPr>
        <vertAlign val="superscript"/>
        <sz val="10.5"/>
        <rFont val="Calibri"/>
        <family val="2"/>
        <scheme val="minor"/>
      </rPr>
      <t>2</t>
    </r>
    <r>
      <rPr>
        <sz val="10.5"/>
        <rFont val="Calibri"/>
        <family val="2"/>
        <scheme val="minor"/>
      </rPr>
      <t>Monat]</t>
    </r>
  </si>
  <si>
    <t>Luftzustand an der Grenzschicht zum Wasser beim Freibad</t>
  </si>
  <si>
    <t>Wassergehalt  der Luft in der Grenzschicht zum Wasser bei 100% Grenzschichtfeuchtigkeit
[g/kg]</t>
  </si>
  <si>
    <t>rel. Feuchte
[%]</t>
  </si>
  <si>
    <t>Wassergehalt der Aussenluft/Raumluft X'
[kg/kg]</t>
  </si>
  <si>
    <t>Wassergehalt der gesättigten Luft an der Wasseroberfläche X''
[kg/kg]</t>
  </si>
  <si>
    <t>rw
kJ/kg</t>
  </si>
  <si>
    <r>
      <t>Enthalpie h</t>
    </r>
    <r>
      <rPr>
        <vertAlign val="subscript"/>
        <sz val="10.5"/>
        <rFont val="Calibri"/>
        <family val="2"/>
        <scheme val="minor"/>
      </rPr>
      <t>w</t>
    </r>
    <r>
      <rPr>
        <sz val="10.5"/>
        <rFont val="Calibri"/>
        <family val="2"/>
        <scheme val="minor"/>
      </rPr>
      <t xml:space="preserve"> [kJ/kg]</t>
    </r>
  </si>
  <si>
    <t>Verwendete Variante</t>
  </si>
  <si>
    <t>Alternative Berechnung für das die Verdunstung des aussenliegenden Schwimmbads</t>
  </si>
  <si>
    <t>Differenz</t>
  </si>
  <si>
    <t>Alternative Berechnung nach Saunus für Hallenbad und aussenliegendes Schwimmbad:</t>
  </si>
  <si>
    <t>Nur noch für Vergleichsberechnungen verwendet!</t>
  </si>
  <si>
    <t>Reduktionsfaktoren für Wärmeverluste gegen unbeheizte Räume nach SIA 380/1</t>
  </si>
  <si>
    <t>Windgeschwindigkeit v [m/s]</t>
  </si>
  <si>
    <t>Wärmeübergangszahl a [W/m2K]</t>
  </si>
  <si>
    <t>Ölfeuerung</t>
  </si>
  <si>
    <t>Ölfeuerung kondensierend</t>
  </si>
  <si>
    <t>Gasfeuerung</t>
  </si>
  <si>
    <t>Gasfeuerung kondensiernd</t>
  </si>
  <si>
    <t>Holzfeuerung</t>
  </si>
  <si>
    <t>Pelletfeuerung</t>
  </si>
  <si>
    <t>Abwärme (inkl. Fernwärme aus KVA, ARA, Industrie)</t>
  </si>
  <si>
    <t>Elektro direkt</t>
  </si>
  <si>
    <t>Aussenluftwärmepumpe</t>
  </si>
  <si>
    <t>Erdsondenwärmepumpe</t>
  </si>
  <si>
    <t>Erdregisterwärmepumpe</t>
  </si>
  <si>
    <t>Nutzungsgrad / JAZ (Heizung)</t>
  </si>
  <si>
    <t>Grundwasserwärmepumpe direkt</t>
  </si>
  <si>
    <t>Grundwasserwärmepumpe indirekt</t>
  </si>
  <si>
    <t>Oberflächengewässerwärmepumpe indirekt</t>
  </si>
  <si>
    <t>Abwasserwärmepumpe indirekt</t>
  </si>
  <si>
    <t>Nutzungsgrad / JAZ (Warmwasser)</t>
  </si>
  <si>
    <t>Minergiereglement Stand Januar 2014</t>
  </si>
  <si>
    <t>nur Stromanteil</t>
  </si>
  <si>
    <t>Gewichtungsfaktoren g</t>
  </si>
  <si>
    <t>Wahl des Wärmeerzeugers für die Beckenwassererwärmung:</t>
  </si>
  <si>
    <t>Keine Gutschriftberücksichtigung durch Wärmeerzeuger</t>
  </si>
  <si>
    <t xml:space="preserve">2. Deckungsbeiträge für den Schwimmbadenergieaufwand </t>
  </si>
  <si>
    <t>1. Schwimmbadenergieaufwand</t>
  </si>
  <si>
    <t>1.2 Wärmebedarf Schwimmbadwasseraufbereitung</t>
  </si>
  <si>
    <r>
      <t xml:space="preserve">1.1 Elektrizitätsbedarf </t>
    </r>
    <r>
      <rPr>
        <sz val="10.5"/>
        <color theme="1"/>
        <rFont val="Calibri"/>
        <family val="2"/>
        <scheme val="minor"/>
      </rPr>
      <t>(Filterpumpe, Umwälzung Beckenwassererwärmung, Lüftungsanlage + Entfeuchtung)</t>
    </r>
  </si>
  <si>
    <t>Photovoltaik:</t>
  </si>
  <si>
    <r>
      <t>kW</t>
    </r>
    <r>
      <rPr>
        <vertAlign val="subscript"/>
        <sz val="10.5"/>
        <rFont val="Calibri"/>
        <family val="2"/>
        <scheme val="minor"/>
      </rPr>
      <t>p</t>
    </r>
    <r>
      <rPr>
        <sz val="10.5"/>
        <rFont val="Calibri"/>
        <family val="2"/>
        <scheme val="minor"/>
      </rPr>
      <t xml:space="preserve"> Leistung</t>
    </r>
  </si>
  <si>
    <r>
      <t>kWh/kW</t>
    </r>
    <r>
      <rPr>
        <vertAlign val="subscript"/>
        <sz val="10.5"/>
        <rFont val="Calibri"/>
        <family val="2"/>
        <scheme val="minor"/>
      </rPr>
      <t>p</t>
    </r>
    <r>
      <rPr>
        <sz val="10.5"/>
        <rFont val="Calibri"/>
        <family val="2"/>
        <scheme val="minor"/>
      </rPr>
      <t xml:space="preserve"> spez. Ertrag</t>
    </r>
  </si>
  <si>
    <t>Solarthermie</t>
  </si>
  <si>
    <r>
      <t>m</t>
    </r>
    <r>
      <rPr>
        <vertAlign val="superscript"/>
        <sz val="10.5"/>
        <rFont val="Calibri"/>
        <family val="2"/>
        <scheme val="minor"/>
      </rPr>
      <t>2</t>
    </r>
    <r>
      <rPr>
        <sz val="10.5"/>
        <rFont val="Calibri"/>
        <family val="2"/>
        <scheme val="minor"/>
      </rPr>
      <t xml:space="preserve"> Bruttofläche</t>
    </r>
  </si>
  <si>
    <t>Energieverordnung Artikel 7a Absatz 1 und 2:
1) Der für die Betriebsführung eines Hallenbads, eines beheizten ausssenliegenden Schwimmbads oder eines Whirlpools notwendige Energiebedarf (Wassererwärmung, Umwälzpumpen, Lüftung und Entfeuchtung) ist primär durch die Verwendung von Solarenergie zu decken.
2) Der verbleibende zusätzliche Energieaufwand ist durch verstärkte planerische sowie energietechnische Massnahmen beim zugehörigen Gebäude zu decken. Die Energiebilanz für Betrieb und Unterhalt eines Gebäudes und eines Hallenbads, eines beheizten aussenliegenden Schwimmbads oder eines Whirlpools darf nicht höher sein, als dies gemäss den gesetzlichen Vorschriften für das Gebäude allein zulässig ist.</t>
  </si>
  <si>
    <t>Effektiver Solarenergieanteil am Schwimmbadenergieaufwand:</t>
  </si>
  <si>
    <t>Primäranforderung an die Gebäudehülle</t>
  </si>
  <si>
    <t>Berechneter Wert</t>
  </si>
  <si>
    <t>SIA Kategorien</t>
  </si>
  <si>
    <t>Wohnen MFH</t>
  </si>
  <si>
    <t>Wohnen EFH</t>
  </si>
  <si>
    <t>Verwaltung</t>
  </si>
  <si>
    <t>Schulen</t>
  </si>
  <si>
    <t>Verkauf</t>
  </si>
  <si>
    <t>Restaurant</t>
  </si>
  <si>
    <t>Versammlungslokale</t>
  </si>
  <si>
    <t>Spitäler</t>
  </si>
  <si>
    <t>Industrie</t>
  </si>
  <si>
    <t>Lager</t>
  </si>
  <si>
    <t>Sportbauten</t>
  </si>
  <si>
    <t>Hallenbäder</t>
  </si>
  <si>
    <t>Wärmebedarf Warmwasser MJ/m2</t>
  </si>
  <si>
    <t>SIA Gebäudekategorie:</t>
  </si>
  <si>
    <r>
      <t>Q</t>
    </r>
    <r>
      <rPr>
        <vertAlign val="subscript"/>
        <sz val="10.5"/>
        <rFont val="Calibri"/>
        <family val="2"/>
        <scheme val="minor"/>
      </rPr>
      <t>T</t>
    </r>
    <r>
      <rPr>
        <sz val="10.5"/>
        <rFont val="Calibri"/>
        <family val="2"/>
        <scheme val="minor"/>
      </rPr>
      <t>= (Wandfläche * U-Wert Wand *R-Faktor + Bodenfläche * U-Wert Boden * R-Faktor )*Delta-T Schwimmbadwasser zu Aussenluft bzw. Delta-T Schwimmbadwasser zu beheiztem Raum</t>
    </r>
  </si>
  <si>
    <r>
      <t>Q</t>
    </r>
    <r>
      <rPr>
        <vertAlign val="subscript"/>
        <sz val="10.5"/>
        <rFont val="Calibri"/>
        <family val="2"/>
        <scheme val="minor"/>
      </rPr>
      <t>G</t>
    </r>
    <r>
      <rPr>
        <sz val="10.5"/>
        <rFont val="Calibri"/>
        <family val="2"/>
        <scheme val="minor"/>
      </rPr>
      <t>: Bei Hallenbäder = 0 ; Bei aussenliegenden Schwimmbädern Q</t>
    </r>
    <r>
      <rPr>
        <vertAlign val="subscript"/>
        <sz val="10.5"/>
        <rFont val="Calibri"/>
        <family val="2"/>
        <scheme val="minor"/>
      </rPr>
      <t>G</t>
    </r>
    <r>
      <rPr>
        <sz val="10.5"/>
        <rFont val="Calibri"/>
        <family val="2"/>
        <scheme val="minor"/>
      </rPr>
      <t xml:space="preserve"> = Q</t>
    </r>
    <r>
      <rPr>
        <vertAlign val="subscript"/>
        <sz val="10.5"/>
        <rFont val="Calibri"/>
        <family val="2"/>
        <scheme val="minor"/>
      </rPr>
      <t>solar,horizontal</t>
    </r>
    <r>
      <rPr>
        <sz val="10.5"/>
        <rFont val="Calibri"/>
        <family val="2"/>
        <scheme val="minor"/>
      </rPr>
      <t xml:space="preserve"> * A / 24 / Monatstage</t>
    </r>
  </si>
  <si>
    <r>
      <t>Q</t>
    </r>
    <r>
      <rPr>
        <vertAlign val="subscript"/>
        <sz val="10.5"/>
        <rFont val="Calibri"/>
        <family val="2"/>
        <scheme val="minor"/>
      </rPr>
      <t>k</t>
    </r>
    <r>
      <rPr>
        <sz val="10.5"/>
        <rFont val="Calibri"/>
        <family val="2"/>
        <scheme val="minor"/>
      </rPr>
      <t xml:space="preserve"> = A * a * dt  mit A = Beckenoberfläche in m</t>
    </r>
    <r>
      <rPr>
        <vertAlign val="superscript"/>
        <sz val="10.5"/>
        <rFont val="Calibri"/>
        <family val="2"/>
        <scheme val="minor"/>
      </rPr>
      <t>2</t>
    </r>
    <r>
      <rPr>
        <sz val="10.5"/>
        <rFont val="Calibri"/>
        <family val="2"/>
        <scheme val="minor"/>
      </rPr>
      <t>, a = Wärmeübergangszahl in Abhängigkeit von der über der Wasseroberfläche herrschenden Windgeschwindigkeit in W/m</t>
    </r>
    <r>
      <rPr>
        <vertAlign val="superscript"/>
        <sz val="10.5"/>
        <rFont val="Calibri"/>
        <family val="2"/>
        <scheme val="minor"/>
      </rPr>
      <t>2</t>
    </r>
    <r>
      <rPr>
        <sz val="10.5"/>
        <rFont val="Calibri"/>
        <family val="2"/>
        <scheme val="minor"/>
      </rPr>
      <t>K (12.79W/m</t>
    </r>
    <r>
      <rPr>
        <vertAlign val="superscript"/>
        <sz val="10.5"/>
        <rFont val="Calibri"/>
        <family val="2"/>
        <scheme val="minor"/>
      </rPr>
      <t>2</t>
    </r>
    <r>
      <rPr>
        <sz val="10.5"/>
        <rFont val="Calibri"/>
        <family val="2"/>
        <scheme val="minor"/>
      </rPr>
      <t>K = freie Lage / 6.98W/m</t>
    </r>
    <r>
      <rPr>
        <vertAlign val="superscript"/>
        <sz val="10.5"/>
        <rFont val="Calibri"/>
        <family val="2"/>
        <scheme val="minor"/>
      </rPr>
      <t>2</t>
    </r>
    <r>
      <rPr>
        <sz val="10.5"/>
        <rFont val="Calibri"/>
        <family val="2"/>
        <scheme val="minor"/>
      </rPr>
      <t>K = teilgeschützt Lage / 4.07W/m</t>
    </r>
    <r>
      <rPr>
        <vertAlign val="superscript"/>
        <sz val="10.5"/>
        <rFont val="Calibri"/>
        <family val="2"/>
        <scheme val="minor"/>
      </rPr>
      <t>2</t>
    </r>
    <r>
      <rPr>
        <sz val="10.5"/>
        <rFont val="Calibri"/>
        <family val="2"/>
        <scheme val="minor"/>
      </rPr>
      <t xml:space="preserve">K = geschützte Lage); d t= Temperaturdifferenz Schwimmbeckenwasser zu Aussentemperatur/Raumtemperatur
</t>
    </r>
  </si>
  <si>
    <r>
      <t>Q</t>
    </r>
    <r>
      <rPr>
        <vertAlign val="subscript"/>
        <sz val="10.5"/>
        <rFont val="Calibri"/>
        <family val="2"/>
        <scheme val="minor"/>
      </rPr>
      <t>s</t>
    </r>
    <r>
      <rPr>
        <sz val="10.5"/>
        <rFont val="Calibri"/>
        <family val="2"/>
        <scheme val="minor"/>
      </rPr>
      <t xml:space="preserve"> = A * C * B * dt  mit A = Beckenoberfläche in m</t>
    </r>
    <r>
      <rPr>
        <vertAlign val="superscript"/>
        <sz val="10.5"/>
        <rFont val="Calibri"/>
        <family val="2"/>
        <scheme val="minor"/>
      </rPr>
      <t>2</t>
    </r>
    <r>
      <rPr>
        <sz val="10.5"/>
        <rFont val="Calibri"/>
        <family val="2"/>
        <scheme val="minor"/>
      </rPr>
      <t>, C = Strahlungszahl für Wasser 5.56 W/m</t>
    </r>
    <r>
      <rPr>
        <vertAlign val="superscript"/>
        <sz val="10.5"/>
        <rFont val="Calibri"/>
        <family val="2"/>
        <scheme val="minor"/>
      </rPr>
      <t>2</t>
    </r>
    <r>
      <rPr>
        <sz val="10.5"/>
        <rFont val="Calibri"/>
        <family val="2"/>
        <scheme val="minor"/>
      </rPr>
      <t>K4; B = Temperaturfaktor 1 K</t>
    </r>
    <r>
      <rPr>
        <vertAlign val="superscript"/>
        <sz val="10.5"/>
        <rFont val="Calibri"/>
        <family val="2"/>
        <scheme val="minor"/>
      </rPr>
      <t>3</t>
    </r>
    <r>
      <rPr>
        <sz val="10.5"/>
        <rFont val="Calibri"/>
        <family val="2"/>
        <scheme val="minor"/>
      </rPr>
      <t>; d t= Temperaturdifferenz Schwimmbeckenwasser zu Aussentemperatur)</t>
    </r>
  </si>
  <si>
    <t>Projektwert MINERGIE</t>
  </si>
  <si>
    <t>Anforderung Minergie = FL</t>
  </si>
  <si>
    <t>Soll die Wärmeerzeugung für die Bilanzierung berücksichtigte werden?</t>
  </si>
  <si>
    <t>Weist das Gebäude ein Lüftungssystem mit Wärmerückgewinnung aus?</t>
  </si>
  <si>
    <r>
      <t>Q</t>
    </r>
    <r>
      <rPr>
        <vertAlign val="subscript"/>
        <sz val="10.5"/>
        <rFont val="Calibri"/>
        <family val="2"/>
        <scheme val="minor"/>
      </rPr>
      <t>ww</t>
    </r>
    <r>
      <rPr>
        <sz val="10.5"/>
        <rFont val="Calibri"/>
        <family val="2"/>
        <scheme val="minor"/>
      </rPr>
      <t xml:space="preserve"> Wärmebedarf Warmwasser nach SIA 380/1:</t>
    </r>
  </si>
  <si>
    <t>Energiebedarf für die Betriebsführung des beheizten Schwimmbades:</t>
  </si>
  <si>
    <t>%</t>
  </si>
  <si>
    <t>Auswahl rel. Feucht:</t>
  </si>
  <si>
    <r>
      <t>kWh/m</t>
    </r>
    <r>
      <rPr>
        <vertAlign val="superscript"/>
        <sz val="10.5"/>
        <rFont val="Calibri"/>
        <family val="2"/>
        <scheme val="minor"/>
      </rPr>
      <t>2</t>
    </r>
    <r>
      <rPr>
        <sz val="10.5"/>
        <rFont val="Calibri"/>
        <family val="2"/>
        <scheme val="minor"/>
      </rPr>
      <t xml:space="preserve"> spez. Ertrag</t>
    </r>
  </si>
  <si>
    <t>Fall WEZ ja / Lüftung ja</t>
  </si>
  <si>
    <t>Fall WEZ ja / Lüftung nein</t>
  </si>
  <si>
    <t>Fall WEZ nein / Lüftung ja</t>
  </si>
  <si>
    <t>Fall WEZ nein / Lüftung nein</t>
  </si>
  <si>
    <t>Effekiver berechneter Wärmebedarf</t>
  </si>
  <si>
    <t>Solarertrag</t>
  </si>
  <si>
    <t>Hilfszahlen für Mittelwertberechnung</t>
  </si>
  <si>
    <t>Luftdruck aussen auf Meereshöhe</t>
  </si>
  <si>
    <r>
      <t>Q</t>
    </r>
    <r>
      <rPr>
        <vertAlign val="subscript"/>
        <sz val="10.5"/>
        <rFont val="Calibri"/>
        <family val="2"/>
        <scheme val="minor"/>
      </rPr>
      <t>v</t>
    </r>
    <r>
      <rPr>
        <sz val="10.5"/>
        <rFont val="Calibri"/>
        <family val="2"/>
        <scheme val="minor"/>
      </rPr>
      <t xml:space="preserve"> = (25 + 19 * v) * (hw-he) = (25 + 19 * v) *(( (c</t>
    </r>
    <r>
      <rPr>
        <vertAlign val="subscript"/>
        <sz val="10.5"/>
        <rFont val="Calibri"/>
        <family val="2"/>
        <scheme val="minor"/>
      </rPr>
      <t>L</t>
    </r>
    <r>
      <rPr>
        <sz val="10.5"/>
        <rFont val="Calibri"/>
        <family val="2"/>
        <scheme val="minor"/>
      </rPr>
      <t xml:space="preserve"> + X'' * c</t>
    </r>
    <r>
      <rPr>
        <vertAlign val="subscript"/>
        <sz val="10.5"/>
        <rFont val="Calibri"/>
        <family val="2"/>
        <scheme val="minor"/>
      </rPr>
      <t>D</t>
    </r>
    <r>
      <rPr>
        <sz val="10.5"/>
        <rFont val="Calibri"/>
        <family val="2"/>
        <scheme val="minor"/>
      </rPr>
      <t>) * T'' +( X'' * r</t>
    </r>
    <r>
      <rPr>
        <vertAlign val="subscript"/>
        <sz val="10.5"/>
        <rFont val="Calibri"/>
        <family val="2"/>
        <scheme val="minor"/>
      </rPr>
      <t>w</t>
    </r>
    <r>
      <rPr>
        <sz val="10.5"/>
        <rFont val="Calibri"/>
        <family val="2"/>
        <scheme val="minor"/>
      </rPr>
      <t>)))-((c</t>
    </r>
    <r>
      <rPr>
        <vertAlign val="subscript"/>
        <sz val="10.5"/>
        <rFont val="Calibri"/>
        <family val="2"/>
        <scheme val="minor"/>
      </rPr>
      <t>L</t>
    </r>
    <r>
      <rPr>
        <sz val="10.5"/>
        <rFont val="Calibri"/>
        <family val="2"/>
        <scheme val="minor"/>
      </rPr>
      <t xml:space="preserve"> + X' * c</t>
    </r>
    <r>
      <rPr>
        <vertAlign val="subscript"/>
        <sz val="10.5"/>
        <rFont val="Calibri"/>
        <family val="2"/>
        <scheme val="minor"/>
      </rPr>
      <t>D</t>
    </r>
    <r>
      <rPr>
        <sz val="10.5"/>
        <rFont val="Calibri"/>
        <family val="2"/>
        <scheme val="minor"/>
      </rPr>
      <t>) * T' +( X' * r</t>
    </r>
    <r>
      <rPr>
        <vertAlign val="subscript"/>
        <sz val="10.5"/>
        <rFont val="Calibri"/>
        <family val="2"/>
        <scheme val="minor"/>
      </rPr>
      <t>w</t>
    </r>
    <r>
      <rPr>
        <sz val="10.5"/>
        <rFont val="Calibri"/>
        <family val="2"/>
        <scheme val="minor"/>
      </rPr>
      <t>) mit v = Windgeschwindigkeit über der Wasseroberfläche: freie Lage = 4.0 m/s, teils geschützte Lage = 2.0 m/s, geschützt Lage = 1.0 m/s, Hallenbad = 0.2 m/s; cL = Wärmekapazität Luft kJ/kgK; X'' = Wassergehalt der gesättigten Luft an der Wasseroberfläche kg/kg; cD = Wärmekapazität Wasserdampf kJ/kgK; T'' = Temperatur Wasser; X' = Wassergehalt der Aussenluft/Raumluft kg/kg; rw = Verdampfungswärme bei Schwimmbadwassertemperatur kJ/kg und T' = Lufttemperatur.</t>
    </r>
  </si>
  <si>
    <t>Bauteil zu Aussenluft</t>
  </si>
  <si>
    <t>Innenluft zu Bauteil</t>
  </si>
  <si>
    <t>Erdreich:</t>
  </si>
  <si>
    <t>Schluff/Ton</t>
  </si>
  <si>
    <t>Kies/Sand</t>
  </si>
  <si>
    <t>Fels</t>
  </si>
  <si>
    <t>Bodenplatte:</t>
  </si>
  <si>
    <t>λ  Erdreich</t>
  </si>
  <si>
    <t>PI</t>
  </si>
  <si>
    <t>B'</t>
  </si>
  <si>
    <r>
      <t>d</t>
    </r>
    <r>
      <rPr>
        <vertAlign val="subscript"/>
        <sz val="10.5"/>
        <rFont val="Calibri"/>
        <family val="2"/>
        <scheme val="minor"/>
      </rPr>
      <t>t</t>
    </r>
  </si>
  <si>
    <t>z</t>
  </si>
  <si>
    <t>Wand:</t>
  </si>
  <si>
    <r>
      <t>(d</t>
    </r>
    <r>
      <rPr>
        <vertAlign val="subscript"/>
        <sz val="10.5"/>
        <rFont val="Calibri"/>
        <family val="2"/>
        <scheme val="minor"/>
      </rPr>
      <t>t</t>
    </r>
    <r>
      <rPr>
        <sz val="10.5"/>
        <rFont val="Calibri"/>
        <family val="2"/>
        <scheme val="minor"/>
      </rPr>
      <t>+0.5z)</t>
    </r>
  </si>
  <si>
    <r>
      <t>U</t>
    </r>
    <r>
      <rPr>
        <vertAlign val="subscript"/>
        <sz val="10.5"/>
        <rFont val="Calibri"/>
        <family val="2"/>
        <scheme val="minor"/>
      </rPr>
      <t xml:space="preserve">bf  </t>
    </r>
    <r>
      <rPr>
        <sz val="10.5"/>
        <rFont val="Calibri"/>
        <family val="2"/>
        <scheme val="minor"/>
      </rPr>
      <t>wenn (dt+0.5z) &lt; B'</t>
    </r>
  </si>
  <si>
    <r>
      <t>U</t>
    </r>
    <r>
      <rPr>
        <vertAlign val="subscript"/>
        <sz val="10.5"/>
        <rFont val="Calibri"/>
        <family val="2"/>
        <scheme val="minor"/>
      </rPr>
      <t xml:space="preserve">bf  </t>
    </r>
    <r>
      <rPr>
        <sz val="10.5"/>
        <rFont val="Calibri"/>
        <family val="2"/>
        <scheme val="minor"/>
      </rPr>
      <t>wenn (dt+0.5z) &gt;= B'</t>
    </r>
  </si>
  <si>
    <r>
      <t>d</t>
    </r>
    <r>
      <rPr>
        <vertAlign val="subscript"/>
        <sz val="10.5"/>
        <rFont val="Calibri"/>
        <family val="2"/>
        <scheme val="minor"/>
      </rPr>
      <t>w</t>
    </r>
  </si>
  <si>
    <t>Berechnung der Reduktionsfaktoren nach EN ISO 13370:2007:</t>
  </si>
  <si>
    <r>
      <t>U</t>
    </r>
    <r>
      <rPr>
        <vertAlign val="subscript"/>
        <sz val="10.5"/>
        <rFont val="Calibri"/>
        <family val="2"/>
        <scheme val="minor"/>
      </rPr>
      <t>bw</t>
    </r>
    <r>
      <rPr>
        <sz val="10.5"/>
        <rFont val="Calibri"/>
        <family val="2"/>
        <scheme val="minor"/>
      </rPr>
      <t xml:space="preserve"> wenn d</t>
    </r>
    <r>
      <rPr>
        <vertAlign val="subscript"/>
        <sz val="10.5"/>
        <rFont val="Calibri"/>
        <family val="2"/>
        <scheme val="minor"/>
      </rPr>
      <t>w</t>
    </r>
    <r>
      <rPr>
        <sz val="10.5"/>
        <rFont val="Calibri"/>
        <family val="2"/>
        <scheme val="minor"/>
      </rPr>
      <t xml:space="preserve"> &gt;= d</t>
    </r>
    <r>
      <rPr>
        <vertAlign val="subscript"/>
        <sz val="10.5"/>
        <rFont val="Calibri"/>
        <family val="2"/>
        <scheme val="minor"/>
      </rPr>
      <t>t</t>
    </r>
  </si>
  <si>
    <r>
      <t>U</t>
    </r>
    <r>
      <rPr>
        <vertAlign val="subscript"/>
        <sz val="10.5"/>
        <rFont val="Calibri"/>
        <family val="2"/>
        <scheme val="minor"/>
      </rPr>
      <t>bw</t>
    </r>
    <r>
      <rPr>
        <sz val="10.5"/>
        <rFont val="Calibri"/>
        <family val="2"/>
        <scheme val="minor"/>
      </rPr>
      <t xml:space="preserve"> wenn d</t>
    </r>
    <r>
      <rPr>
        <vertAlign val="subscript"/>
        <sz val="10.5"/>
        <rFont val="Calibri"/>
        <family val="2"/>
        <scheme val="minor"/>
      </rPr>
      <t>w</t>
    </r>
    <r>
      <rPr>
        <sz val="10.5"/>
        <rFont val="Calibri"/>
        <family val="2"/>
        <scheme val="minor"/>
      </rPr>
      <t xml:space="preserve"> &lt; d</t>
    </r>
    <r>
      <rPr>
        <vertAlign val="subscript"/>
        <sz val="10.5"/>
        <rFont val="Calibri"/>
        <family val="2"/>
        <scheme val="minor"/>
      </rPr>
      <t>t</t>
    </r>
  </si>
  <si>
    <t>(Variantenberechnung nach Methode SIA 380/1, Werte aus Tabelle, Nur gut wenn U-Wert Wand zwischen 0.2 und 1.0 liegt)</t>
  </si>
  <si>
    <t>Energieertrag aus Solarenergieanlagen und/oder weiteren planerischen und energietechnischen Massnahmen:</t>
  </si>
  <si>
    <t>Referenzwärmebedarf (Ölheizung)</t>
  </si>
  <si>
    <t>Effekiver berechneter Wärmebedarf (Ölheizung)</t>
  </si>
  <si>
    <r>
      <t>Solare Wärmegewinne Q</t>
    </r>
    <r>
      <rPr>
        <vertAlign val="subscript"/>
        <sz val="10.5"/>
        <rFont val="Calibri"/>
        <family val="2"/>
        <scheme val="minor"/>
      </rPr>
      <t xml:space="preserve">G </t>
    </r>
    <r>
      <rPr>
        <sz val="10.5"/>
        <rFont val="Calibri"/>
        <family val="2"/>
        <scheme val="minor"/>
      </rPr>
      <t>[W/m2]</t>
    </r>
  </si>
  <si>
    <t>Absorptionskoeffizient</t>
  </si>
  <si>
    <r>
      <t>Sättigungsdampfdruck
P</t>
    </r>
    <r>
      <rPr>
        <vertAlign val="subscript"/>
        <sz val="10.5"/>
        <rFont val="Calibri"/>
        <family val="2"/>
        <scheme val="minor"/>
      </rPr>
      <t>H2O,Sättigung</t>
    </r>
    <r>
      <rPr>
        <sz val="10.5"/>
        <rFont val="Calibri"/>
        <family val="2"/>
        <scheme val="minor"/>
      </rPr>
      <t xml:space="preserve">
[Pa]</t>
    </r>
  </si>
  <si>
    <r>
      <t>Enthalpie h</t>
    </r>
    <r>
      <rPr>
        <vertAlign val="subscript"/>
        <sz val="10.5"/>
        <rFont val="Calibri"/>
        <family val="2"/>
        <scheme val="minor"/>
      </rPr>
      <t xml:space="preserve">e </t>
    </r>
    <r>
      <rPr>
        <sz val="10.5"/>
        <rFont val="Calibri"/>
        <family val="2"/>
        <scheme val="minor"/>
      </rPr>
      <t>[kJ/kg]</t>
    </r>
  </si>
  <si>
    <r>
      <t>Verdunstung aussenliegende Schwimmbäder Q</t>
    </r>
    <r>
      <rPr>
        <vertAlign val="subscript"/>
        <sz val="10.5"/>
        <rFont val="Calibri"/>
        <family val="2"/>
        <scheme val="minor"/>
      </rPr>
      <t xml:space="preserve">V </t>
    </r>
    <r>
      <rPr>
        <sz val="10.5"/>
        <rFont val="Calibri"/>
        <family val="2"/>
        <scheme val="minor"/>
      </rPr>
      <t>[W/m</t>
    </r>
    <r>
      <rPr>
        <vertAlign val="superscript"/>
        <sz val="10.5"/>
        <rFont val="Calibri"/>
        <family val="2"/>
        <scheme val="minor"/>
      </rPr>
      <t>2</t>
    </r>
    <r>
      <rPr>
        <sz val="10.5"/>
        <rFont val="Calibri"/>
        <family val="2"/>
        <scheme val="minor"/>
      </rPr>
      <t>]</t>
    </r>
  </si>
  <si>
    <t>Soll die Bilanz rein über die Solaranlagen erreicht werden?</t>
  </si>
  <si>
    <t>(Mit einer Abdeckung werden die Verdunstungs-, Konvektions- und Abstrahlverluste um 85% reduziert berechnet. Bei den solaren Gewinnen wird pauschal mit einem Absorptionskoeffizienten von 70% gerechnet.)</t>
  </si>
  <si>
    <t>Schwimmbadenergieaufwand:</t>
  </si>
  <si>
    <t>Wenn die Bilanz rein über die Solaranlage erreicht wird, dann genügt es den Bereich Solarenergie auszufüllen. In allen anderen Fällen geben Sie sämtliche Daten (Heizwärmebedarf, Wärmeerzeugung, Solarthermie, Photovoltaik etc.) ins aktuelle Nachweisformular Minergie (Download: www.minergie.ch) ein und übertragen die Resultate aus dem MINERGIE-Nachweisblatt in dieses Formular.
Beim Berechnungsverfahren können Sie wählen ob die Wärmeerzeugung für das Gebäude zum Deckungsbeitrag für den Schwimmbadenergieaufwand verwendet werden soll oder nicht und ob das Gebäude eine Lüftungsanlage mit Wärmerückgewinnung aufweist oder nicht.</t>
  </si>
  <si>
    <r>
      <rPr>
        <b/>
        <sz val="10.5"/>
        <color theme="2"/>
        <rFont val="Calibri"/>
        <family val="2"/>
        <scheme val="minor"/>
      </rPr>
      <t>Zur U-Wert Eingabe</t>
    </r>
    <r>
      <rPr>
        <sz val="10.5"/>
        <color theme="2"/>
        <rFont val="Calibri"/>
        <family val="2"/>
        <scheme val="minor"/>
      </rPr>
      <t xml:space="preserve"> </t>
    </r>
    <r>
      <rPr>
        <sz val="10"/>
        <color theme="2"/>
        <rFont val="Wingdings"/>
        <charset val="2"/>
      </rPr>
      <t>è</t>
    </r>
  </si>
  <si>
    <r>
      <t xml:space="preserve">Zurück zur Schwimmbadbilanz </t>
    </r>
    <r>
      <rPr>
        <b/>
        <sz val="10.5"/>
        <color theme="2"/>
        <rFont val="Wingdings"/>
        <charset val="2"/>
      </rPr>
      <t>è</t>
    </r>
  </si>
  <si>
    <t>Bauherrschaft: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</si>
</sst>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_ * #,##0_ ;_ * \-#,##0_ ;_ * &quot;-&quot;??_ ;_ @_ "/>
    <numFmt numFmtId="165" formatCode="_ * #,##0.0_ ;_ * \-#,##0.0_ ;_ * &quot;-&quot;??_ ;_ @_ "/>
    <numFmt numFmtId="166" formatCode="0.0"/>
    <numFmt numFmtId="167" formatCode="_ * #,##0.000_ ;_ * \-#,##0.000_ ;_ * &quot;-&quot;??_ ;_ @_ "/>
    <numFmt numFmtId="168" formatCode="_ * #,##0.0000_ ;_ * \-#,##0.0000_ ;_ * &quot;-&quot;??_ ;_ @_ "/>
    <numFmt numFmtId="169" formatCode="_ * #,##0.00000_ ;_ * \-#,##0.00000_ ;_ * &quot;-&quot;??_ ;_ @_ "/>
    <numFmt numFmtId="170" formatCode="0.000"/>
    <numFmt numFmtId="171" formatCode="&quot;mit R-Temp.&quot;_ \ #,##0_ "/>
    <numFmt numFmtId="172" formatCode="_ * #,##0.0_ ;_ * \-#,##0.0_ ;_ * &quot;-&quot;?_ ;_ @_ "/>
  </numFmts>
  <fonts count="38" x14ac:knownFonts="1">
    <font>
      <sz val="10"/>
      <name val="Arial"/>
    </font>
    <font>
      <sz val="8"/>
      <name val="Arial"/>
      <family val="2"/>
    </font>
    <font>
      <sz val="10.5"/>
      <name val="Calibri"/>
      <family val="2"/>
      <scheme val="minor"/>
    </font>
    <font>
      <sz val="10"/>
      <name val="Arial"/>
      <family val="2"/>
    </font>
    <font>
      <sz val="10"/>
      <name val="Arial"/>
      <family val="2"/>
    </font>
    <font>
      <sz val="20"/>
      <color rgb="FF669900"/>
      <name val="Calibri"/>
      <family val="2"/>
      <scheme val="minor"/>
    </font>
    <font>
      <u/>
      <sz val="10"/>
      <color theme="10"/>
      <name val="Arial"/>
      <family val="2"/>
    </font>
    <font>
      <sz val="15"/>
      <color theme="1"/>
      <name val="Calibri"/>
      <family val="2"/>
      <scheme val="minor"/>
    </font>
    <font>
      <vertAlign val="subscript"/>
      <sz val="10.5"/>
      <name val="Calibri"/>
      <family val="2"/>
      <scheme val="minor"/>
    </font>
    <font>
      <vertAlign val="superscript"/>
      <sz val="10.5"/>
      <name val="Calibri"/>
      <family val="2"/>
      <scheme val="minor"/>
    </font>
    <font>
      <sz val="8"/>
      <name val="Calibri"/>
      <family val="2"/>
      <scheme val="minor"/>
    </font>
    <font>
      <sz val="10.5"/>
      <color theme="1"/>
      <name val="Calibri"/>
      <family val="2"/>
      <scheme val="minor"/>
    </font>
    <font>
      <b/>
      <sz val="10.5"/>
      <name val="Calibri"/>
      <family val="2"/>
      <scheme val="minor"/>
    </font>
    <font>
      <sz val="15"/>
      <color rgb="FF669900"/>
      <name val="Calibri"/>
      <family val="2"/>
      <scheme val="minor"/>
    </font>
    <font>
      <sz val="13.5"/>
      <color theme="1"/>
      <name val="Calibri"/>
      <family val="2"/>
      <scheme val="minor"/>
    </font>
    <font>
      <sz val="9"/>
      <name val="Arial"/>
      <family val="2"/>
    </font>
    <font>
      <sz val="10"/>
      <name val="Calibri"/>
      <family val="2"/>
      <scheme val="minor"/>
    </font>
    <font>
      <b/>
      <sz val="10"/>
      <name val="Calibri"/>
      <family val="2"/>
      <scheme val="minor"/>
    </font>
    <font>
      <b/>
      <sz val="12"/>
      <name val="Calibri"/>
      <family val="2"/>
      <scheme val="minor"/>
    </font>
    <font>
      <vertAlign val="superscript"/>
      <sz val="8"/>
      <name val="Calibri"/>
      <family val="2"/>
      <scheme val="minor"/>
    </font>
    <font>
      <sz val="10.5"/>
      <color rgb="FFFF0000"/>
      <name val="Calibri"/>
      <family val="2"/>
      <scheme val="minor"/>
    </font>
    <font>
      <i/>
      <sz val="10.5"/>
      <name val="Calibri"/>
      <family val="2"/>
      <scheme val="minor"/>
    </font>
    <font>
      <i/>
      <sz val="10.5"/>
      <color rgb="FFFF0000"/>
      <name val="Calibri"/>
      <family val="2"/>
      <scheme val="minor"/>
    </font>
    <font>
      <sz val="9"/>
      <color indexed="81"/>
      <name val="Segoe UI"/>
      <family val="2"/>
    </font>
    <font>
      <b/>
      <sz val="9"/>
      <color indexed="81"/>
      <name val="Segoe UI"/>
      <family val="2"/>
    </font>
    <font>
      <vertAlign val="subscript"/>
      <sz val="8"/>
      <name val="Calibri"/>
      <family val="2"/>
      <scheme val="minor"/>
    </font>
    <font>
      <b/>
      <vertAlign val="subscript"/>
      <sz val="10.5"/>
      <name val="Calibri"/>
      <family val="2"/>
      <scheme val="minor"/>
    </font>
    <font>
      <sz val="10.5"/>
      <color theme="0"/>
      <name val="Calibri"/>
      <family val="2"/>
      <scheme val="minor"/>
    </font>
    <font>
      <b/>
      <sz val="10.5"/>
      <color rgb="FF669900"/>
      <name val="Calibri"/>
      <family val="2"/>
      <scheme val="minor"/>
    </font>
    <font>
      <b/>
      <sz val="10.5"/>
      <color rgb="FFFF0000"/>
      <name val="Calibri"/>
      <family val="2"/>
      <scheme val="minor"/>
    </font>
    <font>
      <b/>
      <sz val="10.5"/>
      <color theme="2"/>
      <name val="Calibri"/>
      <family val="2"/>
      <scheme val="minor"/>
    </font>
    <font>
      <sz val="15"/>
      <name val="Calibri"/>
      <family val="2"/>
      <scheme val="minor"/>
    </font>
    <font>
      <sz val="10.5"/>
      <name val="Calibri"/>
      <family val="2"/>
    </font>
    <font>
      <sz val="10"/>
      <color theme="2"/>
      <name val="Arial"/>
      <family val="2"/>
    </font>
    <font>
      <sz val="10.5"/>
      <color theme="2"/>
      <name val="Calibri"/>
      <family val="2"/>
      <scheme val="minor"/>
    </font>
    <font>
      <sz val="10"/>
      <color theme="2"/>
      <name val="Wingdings"/>
      <charset val="2"/>
    </font>
    <font>
      <sz val="10"/>
      <color theme="10"/>
      <name val="Arial"/>
      <family val="2"/>
    </font>
    <font>
      <b/>
      <sz val="10.5"/>
      <color theme="2"/>
      <name val="Wingdings"/>
      <charset val="2"/>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2" tint="0.79998168889431442"/>
        <bgColor indexed="64"/>
      </patternFill>
    </fill>
    <fill>
      <patternFill patternType="solid">
        <fgColor rgb="FFFFFF00"/>
        <bgColor indexed="64"/>
      </patternFill>
    </fill>
  </fills>
  <borders count="45">
    <border>
      <left/>
      <right/>
      <top/>
      <bottom/>
      <diagonal/>
    </border>
    <border>
      <left/>
      <right/>
      <top/>
      <bottom style="thin">
        <color theme="2"/>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theme="2"/>
      </bottom>
      <diagonal/>
    </border>
    <border>
      <left style="thin">
        <color indexed="64"/>
      </left>
      <right/>
      <top/>
      <bottom style="thin">
        <color theme="2"/>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s>
  <cellStyleXfs count="7">
    <xf numFmtId="0" fontId="0" fillId="0" borderId="0"/>
    <xf numFmtId="43" fontId="3" fillId="0" borderId="0" applyFont="0" applyFill="0" applyBorder="0" applyAlignment="0" applyProtection="0"/>
    <xf numFmtId="0" fontId="6" fillId="0" borderId="0" applyNumberForma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cellStyleXfs>
  <cellXfs count="327">
    <xf numFmtId="0" fontId="0" fillId="0" borderId="0" xfId="0"/>
    <xf numFmtId="1" fontId="15" fillId="3" borderId="2" xfId="3" applyNumberFormat="1" applyFont="1" applyFill="1" applyBorder="1" applyAlignment="1" applyProtection="1">
      <alignment horizontal="left"/>
    </xf>
    <xf numFmtId="1" fontId="15" fillId="3" borderId="4" xfId="3" applyNumberFormat="1" applyFont="1" applyFill="1" applyBorder="1" applyAlignment="1" applyProtection="1">
      <alignment horizontal="left"/>
    </xf>
    <xf numFmtId="165" fontId="15" fillId="3" borderId="2" xfId="1" applyNumberFormat="1" applyFont="1" applyFill="1" applyBorder="1" applyAlignment="1" applyProtection="1">
      <alignment horizontal="left"/>
    </xf>
    <xf numFmtId="165" fontId="15" fillId="3" borderId="4" xfId="1" applyNumberFormat="1" applyFont="1" applyFill="1" applyBorder="1" applyAlignment="1" applyProtection="1">
      <alignment horizontal="left"/>
    </xf>
    <xf numFmtId="43" fontId="15" fillId="3" borderId="2" xfId="1" applyNumberFormat="1" applyFont="1" applyFill="1" applyBorder="1" applyAlignment="1" applyProtection="1">
      <alignment horizontal="left"/>
    </xf>
    <xf numFmtId="43" fontId="15" fillId="3" borderId="4" xfId="1" applyNumberFormat="1" applyFont="1" applyFill="1" applyBorder="1" applyAlignment="1" applyProtection="1">
      <alignment horizontal="left"/>
    </xf>
    <xf numFmtId="164" fontId="15" fillId="3" borderId="2" xfId="1" applyNumberFormat="1" applyFont="1" applyFill="1" applyBorder="1" applyAlignment="1" applyProtection="1">
      <alignment horizontal="left"/>
    </xf>
    <xf numFmtId="164" fontId="15" fillId="3" borderId="2" xfId="1" applyNumberFormat="1" applyFont="1" applyFill="1" applyBorder="1" applyAlignment="1" applyProtection="1">
      <alignment horizontal="right"/>
    </xf>
    <xf numFmtId="164" fontId="15" fillId="3" borderId="4" xfId="1" applyNumberFormat="1" applyFont="1" applyFill="1" applyBorder="1" applyAlignment="1" applyProtection="1">
      <alignment horizontal="left"/>
    </xf>
    <xf numFmtId="0" fontId="2" fillId="0" borderId="0" xfId="0" applyFont="1" applyProtection="1"/>
    <xf numFmtId="0" fontId="2" fillId="0" borderId="0" xfId="0" applyFont="1" applyAlignment="1" applyProtection="1">
      <alignment horizontal="right"/>
    </xf>
    <xf numFmtId="0" fontId="2" fillId="0" borderId="0" xfId="0" applyFont="1" applyBorder="1" applyAlignment="1" applyProtection="1">
      <alignment wrapText="1"/>
    </xf>
    <xf numFmtId="0" fontId="2" fillId="0" borderId="33" xfId="0" applyFont="1" applyBorder="1" applyAlignment="1" applyProtection="1">
      <alignment wrapText="1"/>
    </xf>
    <xf numFmtId="0" fontId="2" fillId="0" borderId="33" xfId="0" applyFont="1" applyBorder="1" applyProtection="1"/>
    <xf numFmtId="0" fontId="2" fillId="0" borderId="0" xfId="0" applyFont="1" applyAlignment="1" applyProtection="1"/>
    <xf numFmtId="0" fontId="2" fillId="0" borderId="0" xfId="0" applyFont="1" applyBorder="1" applyProtection="1"/>
    <xf numFmtId="0" fontId="20" fillId="0" borderId="39" xfId="0" applyFont="1" applyBorder="1" applyProtection="1"/>
    <xf numFmtId="0" fontId="2" fillId="0" borderId="6" xfId="0" applyFont="1" applyBorder="1" applyProtection="1"/>
    <xf numFmtId="0" fontId="2" fillId="0" borderId="34" xfId="0" applyFont="1" applyBorder="1" applyProtection="1"/>
    <xf numFmtId="0" fontId="2" fillId="0" borderId="15" xfId="0" applyFont="1" applyBorder="1" applyProtection="1"/>
    <xf numFmtId="0" fontId="2" fillId="0" borderId="15" xfId="0" applyFont="1" applyBorder="1" applyAlignment="1" applyProtection="1">
      <alignment wrapText="1"/>
    </xf>
    <xf numFmtId="43" fontId="2" fillId="0" borderId="0" xfId="1" applyFont="1" applyBorder="1" applyProtection="1"/>
    <xf numFmtId="43" fontId="2" fillId="0" borderId="0" xfId="1" applyFont="1" applyProtection="1"/>
    <xf numFmtId="43" fontId="2" fillId="0" borderId="0" xfId="0" applyNumberFormat="1" applyFont="1" applyProtection="1"/>
    <xf numFmtId="0" fontId="2" fillId="0" borderId="40" xfId="0" applyFont="1" applyBorder="1" applyProtection="1"/>
    <xf numFmtId="0" fontId="2" fillId="0" borderId="19" xfId="0" applyFont="1" applyBorder="1" applyProtection="1"/>
    <xf numFmtId="0" fontId="2" fillId="0" borderId="5" xfId="0" applyFont="1" applyBorder="1" applyProtection="1"/>
    <xf numFmtId="0" fontId="2" fillId="0" borderId="0" xfId="0" applyFont="1" applyBorder="1" applyAlignment="1" applyProtection="1">
      <alignment horizontal="right"/>
    </xf>
    <xf numFmtId="0" fontId="12" fillId="0" borderId="0" xfId="0" applyFont="1" applyProtection="1"/>
    <xf numFmtId="43" fontId="2" fillId="0" borderId="33" xfId="1" applyFont="1" applyBorder="1" applyProtection="1"/>
    <xf numFmtId="165" fontId="2" fillId="0" borderId="33" xfId="1" applyNumberFormat="1" applyFont="1" applyBorder="1" applyProtection="1"/>
    <xf numFmtId="0" fontId="2" fillId="0" borderId="39" xfId="0" applyFont="1" applyBorder="1" applyProtection="1"/>
    <xf numFmtId="0" fontId="2" fillId="0" borderId="3" xfId="0" applyFont="1" applyBorder="1" applyAlignment="1" applyProtection="1">
      <alignment wrapText="1"/>
    </xf>
    <xf numFmtId="0" fontId="2" fillId="0" borderId="3" xfId="0" applyFont="1" applyBorder="1" applyProtection="1"/>
    <xf numFmtId="169" fontId="2" fillId="0" borderId="0" xfId="1" applyNumberFormat="1" applyFont="1" applyBorder="1" applyProtection="1"/>
    <xf numFmtId="168" fontId="2" fillId="0" borderId="0" xfId="1" applyNumberFormat="1" applyFont="1" applyBorder="1" applyProtection="1"/>
    <xf numFmtId="169" fontId="2" fillId="0" borderId="33" xfId="1" applyNumberFormat="1" applyFont="1" applyBorder="1" applyProtection="1"/>
    <xf numFmtId="165" fontId="2" fillId="0" borderId="0" xfId="1" applyNumberFormat="1" applyFont="1" applyBorder="1" applyProtection="1"/>
    <xf numFmtId="165" fontId="20" fillId="0" borderId="0" xfId="1" applyNumberFormat="1" applyFont="1" applyBorder="1" applyProtection="1"/>
    <xf numFmtId="43" fontId="20" fillId="0" borderId="0" xfId="1" applyFont="1" applyBorder="1" applyProtection="1"/>
    <xf numFmtId="0" fontId="21" fillId="0" borderId="0" xfId="0" applyFont="1" applyBorder="1" applyAlignment="1" applyProtection="1">
      <alignment horizontal="right"/>
    </xf>
    <xf numFmtId="43" fontId="21" fillId="0" borderId="0" xfId="1" applyFont="1" applyBorder="1" applyProtection="1"/>
    <xf numFmtId="43" fontId="22" fillId="0" borderId="0" xfId="1" applyFont="1" applyBorder="1" applyProtection="1"/>
    <xf numFmtId="43" fontId="21" fillId="0" borderId="33" xfId="1" applyFont="1" applyBorder="1" applyProtection="1"/>
    <xf numFmtId="0" fontId="2" fillId="5" borderId="5" xfId="0" applyFont="1" applyFill="1" applyBorder="1" applyProtection="1"/>
    <xf numFmtId="0" fontId="12" fillId="0" borderId="22" xfId="0" applyFont="1" applyBorder="1" applyAlignment="1" applyProtection="1">
      <alignment wrapText="1"/>
    </xf>
    <xf numFmtId="43" fontId="12" fillId="0" borderId="41" xfId="1" applyFont="1" applyBorder="1" applyProtection="1"/>
    <xf numFmtId="43" fontId="2" fillId="4" borderId="0" xfId="1" applyFont="1" applyFill="1" applyProtection="1"/>
    <xf numFmtId="0" fontId="2" fillId="0" borderId="13" xfId="0" applyFont="1" applyBorder="1" applyProtection="1"/>
    <xf numFmtId="43" fontId="12" fillId="0" borderId="41" xfId="1" applyFont="1" applyBorder="1" applyAlignment="1" applyProtection="1">
      <alignment wrapText="1"/>
    </xf>
    <xf numFmtId="0" fontId="2" fillId="0" borderId="18" xfId="0" applyFont="1" applyBorder="1" applyProtection="1"/>
    <xf numFmtId="0" fontId="2" fillId="0" borderId="14" xfId="0" applyFont="1" applyBorder="1" applyProtection="1"/>
    <xf numFmtId="169" fontId="2" fillId="0" borderId="5" xfId="1" applyNumberFormat="1" applyFont="1" applyBorder="1" applyProtection="1"/>
    <xf numFmtId="169" fontId="2" fillId="0" borderId="40" xfId="1" applyNumberFormat="1" applyFont="1" applyBorder="1" applyProtection="1"/>
    <xf numFmtId="165" fontId="2" fillId="0" borderId="3" xfId="1" applyNumberFormat="1" applyFont="1" applyBorder="1" applyProtection="1"/>
    <xf numFmtId="43" fontId="2" fillId="0" borderId="3" xfId="1" applyNumberFormat="1" applyFont="1" applyBorder="1" applyProtection="1"/>
    <xf numFmtId="43" fontId="2" fillId="0" borderId="5" xfId="1" applyFont="1" applyBorder="1" applyProtection="1"/>
    <xf numFmtId="43" fontId="2" fillId="0" borderId="40" xfId="1" applyFont="1" applyBorder="1" applyProtection="1"/>
    <xf numFmtId="0" fontId="20" fillId="0" borderId="0" xfId="0" applyFont="1" applyProtection="1"/>
    <xf numFmtId="165" fontId="2" fillId="0" borderId="5" xfId="1" applyNumberFormat="1" applyFont="1" applyBorder="1" applyProtection="1"/>
    <xf numFmtId="164" fontId="2" fillId="0" borderId="3" xfId="1" applyNumberFormat="1" applyFont="1" applyBorder="1" applyProtection="1"/>
    <xf numFmtId="43" fontId="12" fillId="0" borderId="0" xfId="0" applyNumberFormat="1" applyFont="1" applyProtection="1"/>
    <xf numFmtId="0" fontId="2" fillId="0" borderId="0" xfId="0" applyFont="1" applyProtection="1">
      <protection hidden="1"/>
    </xf>
    <xf numFmtId="0" fontId="5" fillId="0" borderId="0" xfId="0" applyFont="1" applyAlignment="1" applyProtection="1">
      <alignment horizontal="left" vertical="top"/>
      <protection hidden="1"/>
    </xf>
    <xf numFmtId="0" fontId="2" fillId="0" borderId="0" xfId="0" applyFont="1" applyAlignment="1" applyProtection="1">
      <alignment horizontal="left"/>
      <protection hidden="1"/>
    </xf>
    <xf numFmtId="0" fontId="6" fillId="0" borderId="0" xfId="2" applyAlignment="1" applyProtection="1">
      <alignment horizontal="left"/>
      <protection hidden="1"/>
    </xf>
    <xf numFmtId="165" fontId="2" fillId="2" borderId="0" xfId="1" applyNumberFormat="1" applyFont="1" applyFill="1" applyProtection="1">
      <protection locked="0" hidden="1"/>
    </xf>
    <xf numFmtId="0" fontId="2" fillId="0" borderId="0" xfId="0" applyFont="1" applyAlignment="1" applyProtection="1">
      <alignment horizontal="right"/>
      <protection hidden="1"/>
    </xf>
    <xf numFmtId="43" fontId="2" fillId="2" borderId="0" xfId="1" applyNumberFormat="1" applyFont="1" applyFill="1" applyProtection="1">
      <protection locked="0" hidden="1"/>
    </xf>
    <xf numFmtId="0" fontId="2" fillId="0" borderId="0" xfId="0" applyFont="1" applyAlignment="1" applyProtection="1">
      <alignment horizontal="center"/>
      <protection locked="0" hidden="1"/>
    </xf>
    <xf numFmtId="0" fontId="2" fillId="0" borderId="0" xfId="0" applyFont="1" applyAlignment="1" applyProtection="1">
      <alignment horizontal="center"/>
      <protection hidden="1"/>
    </xf>
    <xf numFmtId="171" fontId="27" fillId="0" borderId="0" xfId="1" applyNumberFormat="1" applyFont="1" applyFill="1" applyProtection="1">
      <protection locked="0" hidden="1"/>
    </xf>
    <xf numFmtId="0" fontId="27" fillId="0" borderId="0" xfId="0" applyFont="1" applyProtection="1">
      <protection hidden="1"/>
    </xf>
    <xf numFmtId="164" fontId="27" fillId="0" borderId="0" xfId="1" applyNumberFormat="1" applyFont="1" applyFill="1" applyAlignment="1" applyProtection="1">
      <alignment horizontal="center"/>
      <protection locked="0" hidden="1"/>
    </xf>
    <xf numFmtId="0" fontId="13" fillId="0" borderId="0" xfId="0" applyFont="1" applyAlignment="1" applyProtection="1">
      <alignment horizontal="left" vertical="top"/>
      <protection hidden="1"/>
    </xf>
    <xf numFmtId="0" fontId="7" fillId="0" borderId="0" xfId="0" applyFont="1" applyAlignment="1" applyProtection="1">
      <alignment horizontal="center" vertical="top"/>
      <protection hidden="1"/>
    </xf>
    <xf numFmtId="0" fontId="2" fillId="0" borderId="0" xfId="0" applyFont="1" applyBorder="1" applyAlignment="1" applyProtection="1">
      <alignment wrapText="1"/>
      <protection hidden="1"/>
    </xf>
    <xf numFmtId="0" fontId="2" fillId="0" borderId="33" xfId="0" applyFont="1" applyBorder="1" applyAlignment="1" applyProtection="1">
      <alignment wrapText="1"/>
      <protection hidden="1"/>
    </xf>
    <xf numFmtId="167" fontId="2" fillId="2" borderId="0" xfId="1" applyNumberFormat="1" applyFont="1" applyFill="1" applyBorder="1" applyProtection="1">
      <protection locked="0" hidden="1"/>
    </xf>
    <xf numFmtId="164" fontId="2" fillId="2" borderId="0" xfId="1" applyNumberFormat="1" applyFont="1" applyFill="1" applyBorder="1" applyProtection="1">
      <protection locked="0" hidden="1"/>
    </xf>
    <xf numFmtId="164" fontId="2" fillId="0" borderId="33" xfId="1" applyNumberFormat="1" applyFont="1" applyBorder="1" applyProtection="1">
      <protection hidden="1"/>
    </xf>
    <xf numFmtId="164" fontId="2" fillId="0" borderId="15" xfId="1" applyNumberFormat="1" applyFont="1" applyBorder="1" applyProtection="1">
      <protection hidden="1"/>
    </xf>
    <xf numFmtId="0" fontId="2" fillId="0" borderId="33" xfId="0" applyFont="1" applyBorder="1" applyProtection="1">
      <protection hidden="1"/>
    </xf>
    <xf numFmtId="0" fontId="2" fillId="0" borderId="0" xfId="0" applyFont="1" applyAlignment="1" applyProtection="1">
      <protection hidden="1"/>
    </xf>
    <xf numFmtId="167" fontId="2" fillId="0" borderId="0" xfId="0" applyNumberFormat="1" applyFont="1" applyProtection="1">
      <protection hidden="1"/>
    </xf>
    <xf numFmtId="167" fontId="2" fillId="2" borderId="1" xfId="1" applyNumberFormat="1" applyFont="1" applyFill="1" applyBorder="1" applyProtection="1">
      <protection locked="0" hidden="1"/>
    </xf>
    <xf numFmtId="164" fontId="2" fillId="2" borderId="1" xfId="1" applyNumberFormat="1" applyFont="1" applyFill="1" applyBorder="1" applyProtection="1">
      <protection locked="0" hidden="1"/>
    </xf>
    <xf numFmtId="164" fontId="2" fillId="0" borderId="36" xfId="1" applyNumberFormat="1" applyFont="1" applyBorder="1" applyProtection="1">
      <protection hidden="1"/>
    </xf>
    <xf numFmtId="164" fontId="2" fillId="0" borderId="37" xfId="1" applyNumberFormat="1" applyFont="1" applyBorder="1" applyProtection="1">
      <protection hidden="1"/>
    </xf>
    <xf numFmtId="0" fontId="2" fillId="0" borderId="36" xfId="0" applyFont="1" applyBorder="1" applyProtection="1">
      <protection hidden="1"/>
    </xf>
    <xf numFmtId="0" fontId="2" fillId="0" borderId="0" xfId="0" applyFont="1" applyBorder="1" applyProtection="1">
      <protection hidden="1"/>
    </xf>
    <xf numFmtId="164" fontId="12" fillId="0" borderId="15" xfId="1" applyNumberFormat="1" applyFont="1" applyBorder="1" applyProtection="1">
      <protection hidden="1"/>
    </xf>
    <xf numFmtId="0" fontId="12" fillId="0" borderId="33" xfId="0" applyFont="1" applyBorder="1" applyProtection="1">
      <protection hidden="1"/>
    </xf>
    <xf numFmtId="165" fontId="12" fillId="0" borderId="0" xfId="1" applyNumberFormat="1" applyFont="1" applyProtection="1">
      <protection hidden="1"/>
    </xf>
    <xf numFmtId="164" fontId="29" fillId="0" borderId="42" xfId="1" applyNumberFormat="1" applyFont="1" applyBorder="1" applyProtection="1">
      <protection hidden="1"/>
    </xf>
    <xf numFmtId="0" fontId="29" fillId="0" borderId="42" xfId="0" applyFont="1" applyBorder="1" applyProtection="1">
      <protection hidden="1"/>
    </xf>
    <xf numFmtId="0" fontId="12" fillId="0" borderId="0" xfId="0" applyFont="1" applyBorder="1" applyProtection="1">
      <protection hidden="1"/>
    </xf>
    <xf numFmtId="0" fontId="2" fillId="0" borderId="0" xfId="0" applyFont="1" applyAlignment="1" applyProtection="1">
      <alignment horizontal="center" wrapText="1"/>
      <protection hidden="1"/>
    </xf>
    <xf numFmtId="0" fontId="20" fillId="0" borderId="39" xfId="0" applyFont="1" applyBorder="1" applyProtection="1">
      <protection hidden="1"/>
    </xf>
    <xf numFmtId="0" fontId="2" fillId="0" borderId="6" xfId="0" applyFont="1" applyBorder="1" applyProtection="1">
      <protection hidden="1"/>
    </xf>
    <xf numFmtId="0" fontId="2" fillId="0" borderId="34" xfId="0" applyFont="1" applyBorder="1" applyAlignment="1" applyProtection="1">
      <protection hidden="1"/>
    </xf>
    <xf numFmtId="166" fontId="2" fillId="0" borderId="0" xfId="0" applyNumberFormat="1" applyFont="1" applyAlignment="1" applyProtection="1">
      <alignment horizontal="center"/>
      <protection hidden="1"/>
    </xf>
    <xf numFmtId="1" fontId="2" fillId="0" borderId="0" xfId="0" applyNumberFormat="1" applyFont="1" applyFill="1" applyAlignment="1" applyProtection="1">
      <alignment horizontal="center"/>
      <protection locked="0" hidden="1"/>
    </xf>
    <xf numFmtId="165" fontId="2" fillId="0" borderId="0" xfId="1" applyNumberFormat="1" applyFont="1" applyProtection="1">
      <protection hidden="1"/>
    </xf>
    <xf numFmtId="0" fontId="2" fillId="0" borderId="0" xfId="0" applyFont="1" applyFill="1" applyAlignment="1" applyProtection="1">
      <alignment horizontal="center"/>
      <protection hidden="1"/>
    </xf>
    <xf numFmtId="0" fontId="2" fillId="2" borderId="0" xfId="0" applyFont="1" applyFill="1" applyAlignment="1" applyProtection="1">
      <alignment horizontal="center"/>
      <protection locked="0" hidden="1"/>
    </xf>
    <xf numFmtId="0" fontId="2" fillId="2" borderId="0" xfId="0" applyFont="1" applyFill="1" applyProtection="1">
      <protection locked="0" hidden="1"/>
    </xf>
    <xf numFmtId="0" fontId="2" fillId="0" borderId="15" xfId="0" applyFont="1" applyBorder="1" applyProtection="1">
      <protection hidden="1"/>
    </xf>
    <xf numFmtId="0" fontId="2" fillId="0" borderId="0" xfId="0" applyFont="1" applyBorder="1" applyAlignment="1" applyProtection="1">
      <protection hidden="1"/>
    </xf>
    <xf numFmtId="0" fontId="20" fillId="0" borderId="0" xfId="0" applyFont="1" applyBorder="1" applyProtection="1">
      <protection hidden="1"/>
    </xf>
    <xf numFmtId="0" fontId="2" fillId="0" borderId="33" xfId="0" applyFont="1" applyBorder="1" applyAlignment="1" applyProtection="1">
      <protection hidden="1"/>
    </xf>
    <xf numFmtId="0" fontId="2" fillId="0" borderId="33" xfId="0" applyFont="1" applyBorder="1" applyAlignment="1" applyProtection="1">
      <alignment horizontal="left"/>
      <protection hidden="1"/>
    </xf>
    <xf numFmtId="0" fontId="2" fillId="0" borderId="15"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2" fillId="0" borderId="33" xfId="0" applyFont="1" applyFill="1" applyBorder="1" applyAlignment="1" applyProtection="1">
      <alignment horizontal="center" wrapText="1"/>
      <protection hidden="1"/>
    </xf>
    <xf numFmtId="0" fontId="2" fillId="0" borderId="14" xfId="0" applyFont="1" applyBorder="1" applyAlignment="1" applyProtection="1">
      <alignment horizontal="center" wrapText="1"/>
      <protection hidden="1"/>
    </xf>
    <xf numFmtId="0" fontId="2" fillId="0" borderId="39" xfId="0" applyFont="1" applyBorder="1" applyAlignment="1" applyProtection="1">
      <alignment wrapText="1"/>
      <protection hidden="1"/>
    </xf>
    <xf numFmtId="0" fontId="2" fillId="0" borderId="6" xfId="0" applyFont="1" applyBorder="1" applyAlignment="1" applyProtection="1">
      <alignment wrapText="1"/>
      <protection hidden="1"/>
    </xf>
    <xf numFmtId="0" fontId="2" fillId="0" borderId="15" xfId="0" applyFont="1" applyBorder="1" applyAlignment="1" applyProtection="1">
      <alignment wrapText="1"/>
      <protection hidden="1"/>
    </xf>
    <xf numFmtId="0" fontId="2" fillId="0" borderId="0" xfId="0" applyFont="1" applyAlignment="1" applyProtection="1">
      <alignment wrapText="1"/>
      <protection hidden="1"/>
    </xf>
    <xf numFmtId="164" fontId="2" fillId="0" borderId="0" xfId="1" applyNumberFormat="1" applyFont="1" applyBorder="1" applyAlignment="1" applyProtection="1">
      <protection hidden="1"/>
    </xf>
    <xf numFmtId="164" fontId="2" fillId="0" borderId="0" xfId="1" applyNumberFormat="1" applyFont="1" applyBorder="1" applyProtection="1">
      <protection hidden="1"/>
    </xf>
    <xf numFmtId="164" fontId="2" fillId="0" borderId="14" xfId="1" applyNumberFormat="1" applyFont="1" applyBorder="1" applyProtection="1">
      <protection hidden="1"/>
    </xf>
    <xf numFmtId="164" fontId="2" fillId="0" borderId="0" xfId="1" applyNumberFormat="1" applyFont="1" applyProtection="1">
      <protection hidden="1"/>
    </xf>
    <xf numFmtId="172" fontId="2" fillId="0" borderId="0" xfId="0" applyNumberFormat="1" applyFont="1" applyProtection="1">
      <protection hidden="1"/>
    </xf>
    <xf numFmtId="0" fontId="2" fillId="0" borderId="33" xfId="0" applyFont="1" applyBorder="1" applyAlignment="1" applyProtection="1">
      <alignment horizontal="right"/>
      <protection hidden="1"/>
    </xf>
    <xf numFmtId="43" fontId="2" fillId="0" borderId="15" xfId="1" applyFont="1" applyBorder="1" applyProtection="1">
      <protection hidden="1"/>
    </xf>
    <xf numFmtId="0" fontId="2" fillId="0" borderId="15" xfId="0" applyFont="1" applyBorder="1" applyAlignment="1" applyProtection="1">
      <alignment horizontal="right"/>
      <protection hidden="1"/>
    </xf>
    <xf numFmtId="168" fontId="2" fillId="0" borderId="0" xfId="1" applyNumberFormat="1" applyFont="1" applyBorder="1" applyAlignment="1" applyProtection="1">
      <alignment horizontal="right"/>
      <protection hidden="1"/>
    </xf>
    <xf numFmtId="164" fontId="2" fillId="0" borderId="0" xfId="1" applyNumberFormat="1" applyFont="1" applyBorder="1" applyAlignment="1" applyProtection="1">
      <alignment horizontal="right"/>
      <protection hidden="1"/>
    </xf>
    <xf numFmtId="164" fontId="12" fillId="0" borderId="0" xfId="1" applyNumberFormat="1" applyFont="1" applyBorder="1" applyAlignment="1" applyProtection="1">
      <alignment horizontal="right"/>
      <protection hidden="1"/>
    </xf>
    <xf numFmtId="2" fontId="2" fillId="0" borderId="33" xfId="0" applyNumberFormat="1" applyFont="1" applyBorder="1" applyProtection="1">
      <protection hidden="1"/>
    </xf>
    <xf numFmtId="43" fontId="2" fillId="0" borderId="0" xfId="0" applyNumberFormat="1" applyFont="1" applyBorder="1" applyProtection="1">
      <protection hidden="1"/>
    </xf>
    <xf numFmtId="43" fontId="2" fillId="0" borderId="0" xfId="1" applyFont="1" applyBorder="1" applyProtection="1">
      <protection hidden="1"/>
    </xf>
    <xf numFmtId="164" fontId="2" fillId="0" borderId="0" xfId="1" applyNumberFormat="1" applyFont="1" applyBorder="1" applyAlignment="1" applyProtection="1">
      <alignment wrapText="1"/>
      <protection hidden="1"/>
    </xf>
    <xf numFmtId="164" fontId="2" fillId="0" borderId="33" xfId="0" applyNumberFormat="1" applyFont="1" applyBorder="1" applyProtection="1">
      <protection hidden="1"/>
    </xf>
    <xf numFmtId="164" fontId="2" fillId="0" borderId="15" xfId="1" applyNumberFormat="1" applyFont="1" applyBorder="1" applyAlignment="1" applyProtection="1">
      <protection hidden="1"/>
    </xf>
    <xf numFmtId="164" fontId="2" fillId="0" borderId="33" xfId="0" applyNumberFormat="1" applyFont="1" applyBorder="1" applyAlignment="1" applyProtection="1">
      <protection hidden="1"/>
    </xf>
    <xf numFmtId="43" fontId="2" fillId="0" borderId="0" xfId="1" applyFont="1" applyProtection="1">
      <protection hidden="1"/>
    </xf>
    <xf numFmtId="1" fontId="2" fillId="0" borderId="0" xfId="0" applyNumberFormat="1" applyFont="1" applyProtection="1">
      <protection hidden="1"/>
    </xf>
    <xf numFmtId="167" fontId="2" fillId="0" borderId="0" xfId="1" applyNumberFormat="1" applyFont="1" applyBorder="1" applyProtection="1">
      <protection hidden="1"/>
    </xf>
    <xf numFmtId="43" fontId="2" fillId="0" borderId="0" xfId="0" applyNumberFormat="1" applyFont="1" applyProtection="1">
      <protection hidden="1"/>
    </xf>
    <xf numFmtId="43" fontId="2" fillId="0" borderId="0" xfId="1" applyNumberFormat="1" applyFont="1" applyBorder="1" applyProtection="1">
      <protection hidden="1"/>
    </xf>
    <xf numFmtId="43" fontId="2" fillId="0" borderId="19" xfId="1" applyFont="1" applyBorder="1" applyProtection="1">
      <protection hidden="1"/>
    </xf>
    <xf numFmtId="0" fontId="2" fillId="0" borderId="40" xfId="0" applyFont="1" applyBorder="1" applyProtection="1">
      <protection hidden="1"/>
    </xf>
    <xf numFmtId="0" fontId="2" fillId="0" borderId="19" xfId="0" applyFont="1" applyBorder="1" applyProtection="1">
      <protection hidden="1"/>
    </xf>
    <xf numFmtId="0" fontId="2" fillId="0" borderId="5" xfId="0" applyFont="1" applyBorder="1" applyProtection="1">
      <protection hidden="1"/>
    </xf>
    <xf numFmtId="164" fontId="2" fillId="0" borderId="19" xfId="1" applyNumberFormat="1" applyFont="1" applyBorder="1" applyProtection="1">
      <protection hidden="1"/>
    </xf>
    <xf numFmtId="164" fontId="2" fillId="0" borderId="5" xfId="1" applyNumberFormat="1" applyFont="1" applyBorder="1" applyProtection="1">
      <protection hidden="1"/>
    </xf>
    <xf numFmtId="164" fontId="2" fillId="0" borderId="6" xfId="0" applyNumberFormat="1" applyFont="1" applyBorder="1" applyAlignment="1" applyProtection="1">
      <protection hidden="1"/>
    </xf>
    <xf numFmtId="164" fontId="2" fillId="0" borderId="6" xfId="0" applyNumberFormat="1" applyFont="1" applyBorder="1" applyProtection="1">
      <protection hidden="1"/>
    </xf>
    <xf numFmtId="164" fontId="2" fillId="0" borderId="34" xfId="0" applyNumberFormat="1" applyFont="1" applyBorder="1" applyProtection="1">
      <protection hidden="1"/>
    </xf>
    <xf numFmtId="164" fontId="2" fillId="0" borderId="13" xfId="1" applyNumberFormat="1" applyFont="1" applyBorder="1" applyProtection="1">
      <protection hidden="1"/>
    </xf>
    <xf numFmtId="164" fontId="2" fillId="0" borderId="15" xfId="0" applyNumberFormat="1" applyFont="1" applyBorder="1" applyProtection="1">
      <protection hidden="1"/>
    </xf>
    <xf numFmtId="0" fontId="2" fillId="0" borderId="15" xfId="0" applyFont="1" applyBorder="1" applyAlignment="1" applyProtection="1">
      <protection hidden="1"/>
    </xf>
    <xf numFmtId="164" fontId="12" fillId="0" borderId="38" xfId="1" applyNumberFormat="1" applyFont="1" applyBorder="1" applyProtection="1">
      <protection hidden="1"/>
    </xf>
    <xf numFmtId="43" fontId="2" fillId="0" borderId="15" xfId="0" applyNumberFormat="1" applyFont="1" applyBorder="1" applyProtection="1">
      <protection hidden="1"/>
    </xf>
    <xf numFmtId="0" fontId="2" fillId="0" borderId="0" xfId="0" applyFont="1" applyBorder="1" applyAlignment="1" applyProtection="1">
      <alignment horizontal="right"/>
      <protection hidden="1"/>
    </xf>
    <xf numFmtId="164" fontId="2" fillId="0" borderId="0" xfId="0" applyNumberFormat="1" applyFont="1" applyProtection="1">
      <protection hidden="1"/>
    </xf>
    <xf numFmtId="9" fontId="2" fillId="0" borderId="0" xfId="6" applyFont="1" applyBorder="1" applyProtection="1">
      <protection hidden="1"/>
    </xf>
    <xf numFmtId="0" fontId="2" fillId="0" borderId="5" xfId="0" applyFont="1" applyBorder="1" applyAlignment="1" applyProtection="1">
      <alignment horizontal="right"/>
      <protection hidden="1"/>
    </xf>
    <xf numFmtId="0" fontId="2" fillId="0" borderId="19" xfId="0" applyFont="1" applyBorder="1" applyAlignment="1" applyProtection="1">
      <protection hidden="1"/>
    </xf>
    <xf numFmtId="0" fontId="2" fillId="0" borderId="40" xfId="0" applyFont="1" applyBorder="1" applyAlignment="1" applyProtection="1">
      <protection hidden="1"/>
    </xf>
    <xf numFmtId="0" fontId="6" fillId="0" borderId="0" xfId="2" applyProtection="1">
      <protection hidden="1"/>
    </xf>
    <xf numFmtId="164" fontId="2" fillId="0" borderId="0" xfId="1" applyNumberFormat="1" applyFont="1" applyFill="1" applyProtection="1">
      <protection hidden="1"/>
    </xf>
    <xf numFmtId="0" fontId="2" fillId="2" borderId="0" xfId="0" applyFont="1" applyFill="1" applyAlignment="1" applyProtection="1">
      <protection locked="0" hidden="1"/>
    </xf>
    <xf numFmtId="0" fontId="2" fillId="0" borderId="1" xfId="0" applyFont="1" applyBorder="1" applyAlignment="1" applyProtection="1">
      <protection hidden="1"/>
    </xf>
    <xf numFmtId="0" fontId="2" fillId="2" borderId="1" xfId="0" applyFont="1" applyFill="1" applyBorder="1" applyAlignment="1" applyProtection="1">
      <protection locked="0" hidden="1"/>
    </xf>
    <xf numFmtId="164" fontId="2" fillId="0" borderId="1" xfId="1" applyNumberFormat="1" applyFont="1" applyFill="1" applyBorder="1" applyProtection="1">
      <protection hidden="1"/>
    </xf>
    <xf numFmtId="0" fontId="2" fillId="0" borderId="1" xfId="0" applyFont="1" applyBorder="1" applyProtection="1">
      <protection hidden="1"/>
    </xf>
    <xf numFmtId="9" fontId="12" fillId="0" borderId="0" xfId="6" applyFont="1" applyProtection="1">
      <protection hidden="1"/>
    </xf>
    <xf numFmtId="0" fontId="2" fillId="0" borderId="43" xfId="0" applyFont="1" applyBorder="1" applyProtection="1">
      <protection hidden="1"/>
    </xf>
    <xf numFmtId="164" fontId="12" fillId="0" borderId="43" xfId="1" applyNumberFormat="1" applyFont="1" applyBorder="1" applyProtection="1">
      <protection hidden="1"/>
    </xf>
    <xf numFmtId="164" fontId="2" fillId="2" borderId="0" xfId="1" applyNumberFormat="1" applyFont="1" applyFill="1" applyProtection="1">
      <protection locked="0" hidden="1"/>
    </xf>
    <xf numFmtId="164" fontId="30" fillId="0" borderId="42" xfId="1" applyNumberFormat="1" applyFont="1" applyBorder="1" applyProtection="1">
      <protection hidden="1"/>
    </xf>
    <xf numFmtId="0" fontId="30" fillId="0" borderId="42" xfId="0" applyFont="1" applyBorder="1" applyProtection="1">
      <protection hidden="1"/>
    </xf>
    <xf numFmtId="165" fontId="2" fillId="0" borderId="0" xfId="1" applyNumberFormat="1" applyFont="1" applyFill="1" applyProtection="1">
      <protection hidden="1"/>
    </xf>
    <xf numFmtId="165" fontId="2" fillId="2" borderId="1" xfId="1" applyNumberFormat="1" applyFont="1" applyFill="1" applyBorder="1" applyProtection="1">
      <protection locked="0" hidden="1"/>
    </xf>
    <xf numFmtId="164" fontId="2" fillId="0" borderId="0" xfId="1" applyNumberFormat="1" applyFont="1" applyAlignment="1" applyProtection="1">
      <protection hidden="1"/>
    </xf>
    <xf numFmtId="0" fontId="11" fillId="0" borderId="0" xfId="0" applyFont="1" applyBorder="1" applyProtection="1">
      <protection hidden="1"/>
    </xf>
    <xf numFmtId="164" fontId="12" fillId="0" borderId="0" xfId="1" applyNumberFormat="1" applyFont="1" applyProtection="1">
      <protection hidden="1"/>
    </xf>
    <xf numFmtId="0" fontId="12" fillId="0" borderId="0" xfId="0" applyFont="1" applyProtection="1">
      <protection hidden="1"/>
    </xf>
    <xf numFmtId="164" fontId="29" fillId="0" borderId="0" xfId="1" applyNumberFormat="1" applyFont="1" applyBorder="1" applyProtection="1">
      <protection hidden="1"/>
    </xf>
    <xf numFmtId="164" fontId="30" fillId="0" borderId="0" xfId="1" applyNumberFormat="1" applyFont="1" applyBorder="1" applyProtection="1">
      <protection hidden="1"/>
    </xf>
    <xf numFmtId="0" fontId="12" fillId="0" borderId="1" xfId="0" applyFont="1" applyBorder="1" applyAlignment="1" applyProtection="1">
      <alignment horizontal="right"/>
      <protection hidden="1"/>
    </xf>
    <xf numFmtId="164" fontId="30" fillId="0" borderId="1" xfId="1" applyNumberFormat="1" applyFont="1" applyBorder="1" applyProtection="1">
      <protection hidden="1"/>
    </xf>
    <xf numFmtId="0" fontId="12" fillId="0" borderId="1" xfId="0" applyFont="1" applyBorder="1" applyProtection="1">
      <protection hidden="1"/>
    </xf>
    <xf numFmtId="0" fontId="12" fillId="0" borderId="0" xfId="0" applyFont="1" applyBorder="1" applyAlignment="1" applyProtection="1">
      <alignment horizontal="right"/>
      <protection hidden="1"/>
    </xf>
    <xf numFmtId="0" fontId="2" fillId="0" borderId="42" xfId="0" applyFont="1" applyBorder="1" applyProtection="1">
      <protection hidden="1"/>
    </xf>
    <xf numFmtId="0" fontId="12" fillId="0" borderId="0" xfId="0" applyFont="1" applyAlignment="1" applyProtection="1">
      <alignment horizontal="center" vertical="top" wrapText="1"/>
      <protection hidden="1"/>
    </xf>
    <xf numFmtId="0" fontId="16" fillId="0" borderId="0" xfId="3" applyFont="1" applyProtection="1">
      <protection hidden="1"/>
    </xf>
    <xf numFmtId="43" fontId="16" fillId="0" borderId="0" xfId="4" applyNumberFormat="1" applyFont="1" applyProtection="1">
      <protection hidden="1"/>
    </xf>
    <xf numFmtId="0" fontId="2" fillId="0" borderId="0" xfId="3" applyFont="1" applyProtection="1">
      <protection hidden="1"/>
    </xf>
    <xf numFmtId="0" fontId="17" fillId="0" borderId="0" xfId="3" applyFont="1" applyProtection="1">
      <protection hidden="1"/>
    </xf>
    <xf numFmtId="0" fontId="16" fillId="0" borderId="0" xfId="3" applyFont="1" applyAlignment="1" applyProtection="1">
      <alignment horizontal="right"/>
      <protection hidden="1"/>
    </xf>
    <xf numFmtId="0" fontId="12" fillId="0" borderId="0" xfId="3" applyFont="1" applyProtection="1">
      <protection hidden="1"/>
    </xf>
    <xf numFmtId="0" fontId="2" fillId="0" borderId="0" xfId="3" applyFont="1" applyAlignment="1" applyProtection="1">
      <alignment horizontal="left"/>
      <protection hidden="1"/>
    </xf>
    <xf numFmtId="0" fontId="32" fillId="0" borderId="0" xfId="3" applyFont="1" applyProtection="1">
      <protection hidden="1"/>
    </xf>
    <xf numFmtId="43" fontId="16" fillId="0" borderId="0" xfId="4" applyNumberFormat="1" applyFont="1" applyAlignment="1" applyProtection="1">
      <alignment horizontal="right"/>
      <protection hidden="1"/>
    </xf>
    <xf numFmtId="0" fontId="2" fillId="2" borderId="0" xfId="3" applyFont="1" applyFill="1" applyAlignment="1" applyProtection="1">
      <alignment horizontal="left"/>
      <protection locked="0" hidden="1"/>
    </xf>
    <xf numFmtId="0" fontId="2" fillId="0" borderId="0" xfId="3" applyFont="1" applyAlignment="1" applyProtection="1">
      <alignment horizontal="right"/>
      <protection hidden="1"/>
    </xf>
    <xf numFmtId="43" fontId="2" fillId="0" borderId="0" xfId="3" applyNumberFormat="1" applyFont="1" applyProtection="1">
      <protection hidden="1"/>
    </xf>
    <xf numFmtId="0" fontId="2" fillId="0" borderId="12" xfId="3" applyFont="1" applyBorder="1" applyAlignment="1" applyProtection="1">
      <alignment horizontal="center" wrapText="1"/>
      <protection hidden="1"/>
    </xf>
    <xf numFmtId="0" fontId="2" fillId="0" borderId="13" xfId="3" applyFont="1" applyBorder="1" applyAlignment="1" applyProtection="1">
      <alignment horizontal="center" vertical="top"/>
      <protection hidden="1"/>
    </xf>
    <xf numFmtId="0" fontId="2" fillId="0" borderId="14" xfId="3" applyFont="1" applyBorder="1" applyAlignment="1" applyProtection="1">
      <alignment horizontal="center" vertical="top"/>
      <protection hidden="1"/>
    </xf>
    <xf numFmtId="0" fontId="2" fillId="0" borderId="15" xfId="3" applyFont="1" applyBorder="1" applyAlignment="1" applyProtection="1">
      <alignment horizontal="center" vertical="top"/>
      <protection hidden="1"/>
    </xf>
    <xf numFmtId="0" fontId="2" fillId="0" borderId="16" xfId="3" applyFont="1" applyBorder="1" applyAlignment="1" applyProtection="1">
      <alignment horizontal="center" vertical="top"/>
      <protection hidden="1"/>
    </xf>
    <xf numFmtId="167" fontId="16" fillId="0" borderId="0" xfId="4" applyNumberFormat="1" applyFont="1" applyProtection="1">
      <protection hidden="1"/>
    </xf>
    <xf numFmtId="0" fontId="16" fillId="0" borderId="17" xfId="3" applyFont="1" applyBorder="1" applyProtection="1">
      <protection hidden="1"/>
    </xf>
    <xf numFmtId="0" fontId="16" fillId="0" borderId="18" xfId="3" applyFont="1" applyBorder="1" applyProtection="1">
      <protection hidden="1"/>
    </xf>
    <xf numFmtId="0" fontId="16" fillId="0" borderId="18" xfId="3" applyFont="1" applyBorder="1" applyAlignment="1" applyProtection="1">
      <alignment horizontal="center"/>
      <protection hidden="1"/>
    </xf>
    <xf numFmtId="0" fontId="10" fillId="0" borderId="19" xfId="3" applyFont="1" applyBorder="1" applyAlignment="1" applyProtection="1">
      <alignment horizontal="center"/>
      <protection hidden="1"/>
    </xf>
    <xf numFmtId="0" fontId="10" fillId="0" borderId="20" xfId="3" applyFont="1" applyBorder="1" applyAlignment="1" applyProtection="1">
      <alignment horizontal="center"/>
      <protection hidden="1"/>
    </xf>
    <xf numFmtId="0" fontId="2" fillId="0" borderId="21" xfId="3" applyFont="1" applyBorder="1" applyAlignment="1" applyProtection="1">
      <alignment horizontal="center"/>
      <protection hidden="1"/>
    </xf>
    <xf numFmtId="0" fontId="2" fillId="0" borderId="3" xfId="3" applyFont="1" applyBorder="1" applyProtection="1">
      <protection hidden="1"/>
    </xf>
    <xf numFmtId="0" fontId="2" fillId="0" borderId="3" xfId="3" applyFont="1" applyBorder="1" applyAlignment="1" applyProtection="1">
      <alignment horizontal="center"/>
      <protection hidden="1"/>
    </xf>
    <xf numFmtId="0" fontId="2" fillId="2" borderId="22" xfId="3" applyFont="1" applyFill="1" applyBorder="1" applyProtection="1">
      <protection locked="0" hidden="1"/>
    </xf>
    <xf numFmtId="170" fontId="2" fillId="0" borderId="23" xfId="3" applyNumberFormat="1" applyFont="1" applyBorder="1" applyProtection="1">
      <protection hidden="1"/>
    </xf>
    <xf numFmtId="43" fontId="2" fillId="0" borderId="0" xfId="1" applyNumberFormat="1" applyFont="1" applyProtection="1">
      <protection hidden="1"/>
    </xf>
    <xf numFmtId="0" fontId="2" fillId="2" borderId="3" xfId="3" applyFont="1" applyFill="1" applyBorder="1" applyProtection="1">
      <protection locked="0" hidden="1"/>
    </xf>
    <xf numFmtId="0" fontId="2" fillId="0" borderId="22" xfId="3" applyFont="1" applyBorder="1" applyProtection="1">
      <protection hidden="1"/>
    </xf>
    <xf numFmtId="0" fontId="12" fillId="0" borderId="22" xfId="0" applyFont="1" applyBorder="1" applyAlignment="1" applyProtection="1">
      <alignment wrapText="1"/>
      <protection hidden="1"/>
    </xf>
    <xf numFmtId="43" fontId="12" fillId="0" borderId="41" xfId="1" applyFont="1" applyBorder="1" applyAlignment="1" applyProtection="1">
      <alignment wrapText="1"/>
      <protection hidden="1"/>
    </xf>
    <xf numFmtId="43" fontId="12" fillId="0" borderId="41" xfId="1" applyFont="1" applyBorder="1" applyProtection="1">
      <protection hidden="1"/>
    </xf>
    <xf numFmtId="0" fontId="2" fillId="0" borderId="24" xfId="3" applyFont="1" applyBorder="1" applyAlignment="1" applyProtection="1">
      <alignment horizontal="center"/>
      <protection hidden="1"/>
    </xf>
    <xf numFmtId="0" fontId="2" fillId="0" borderId="25" xfId="3" applyFont="1" applyBorder="1" applyProtection="1">
      <protection hidden="1"/>
    </xf>
    <xf numFmtId="0" fontId="2" fillId="0" borderId="25" xfId="3" applyFont="1" applyBorder="1" applyAlignment="1" applyProtection="1">
      <alignment horizontal="center"/>
      <protection hidden="1"/>
    </xf>
    <xf numFmtId="0" fontId="2" fillId="2" borderId="26" xfId="3" applyFont="1" applyFill="1" applyBorder="1" applyProtection="1">
      <protection locked="0" hidden="1"/>
    </xf>
    <xf numFmtId="170" fontId="2" fillId="0" borderId="27" xfId="3" applyNumberFormat="1" applyFont="1" applyBorder="1" applyProtection="1">
      <protection hidden="1"/>
    </xf>
    <xf numFmtId="0" fontId="2" fillId="0" borderId="28" xfId="3" applyFont="1" applyBorder="1" applyAlignment="1" applyProtection="1">
      <alignment horizontal="right" vertical="center"/>
      <protection hidden="1"/>
    </xf>
    <xf numFmtId="170" fontId="2" fillId="0" borderId="29" xfId="3" applyNumberFormat="1" applyFont="1" applyBorder="1" applyAlignment="1" applyProtection="1">
      <alignment vertical="center"/>
      <protection hidden="1"/>
    </xf>
    <xf numFmtId="170" fontId="12" fillId="0" borderId="32" xfId="3" applyNumberFormat="1" applyFont="1" applyFill="1" applyBorder="1" applyAlignment="1" applyProtection="1">
      <alignment horizontal="center" vertical="center"/>
      <protection hidden="1"/>
    </xf>
    <xf numFmtId="0" fontId="12" fillId="0" borderId="7" xfId="3" applyFont="1" applyBorder="1" applyAlignment="1" applyProtection="1">
      <alignment horizontal="left" vertical="center"/>
      <protection hidden="1"/>
    </xf>
    <xf numFmtId="0" fontId="12" fillId="0" borderId="8" xfId="3" applyFont="1" applyBorder="1" applyAlignment="1" applyProtection="1">
      <alignment horizontal="left" vertical="center"/>
      <protection hidden="1"/>
    </xf>
    <xf numFmtId="0" fontId="17" fillId="0" borderId="0" xfId="3" applyFont="1" applyFill="1" applyBorder="1" applyAlignment="1" applyProtection="1">
      <alignment vertical="center"/>
      <protection hidden="1"/>
    </xf>
    <xf numFmtId="0" fontId="17" fillId="0" borderId="0" xfId="3" applyFont="1" applyFill="1" applyBorder="1" applyAlignment="1" applyProtection="1">
      <alignment horizontal="right" vertical="center"/>
      <protection hidden="1"/>
    </xf>
    <xf numFmtId="170" fontId="17" fillId="0" borderId="0" xfId="3" applyNumberFormat="1" applyFont="1" applyFill="1" applyBorder="1" applyAlignment="1" applyProtection="1">
      <alignment horizontal="center" vertical="center"/>
      <protection hidden="1"/>
    </xf>
    <xf numFmtId="0" fontId="16" fillId="0" borderId="0" xfId="3" applyFont="1" applyFill="1" applyBorder="1" applyProtection="1">
      <protection hidden="1"/>
    </xf>
    <xf numFmtId="0" fontId="16" fillId="0" borderId="0" xfId="3" applyFont="1" applyAlignment="1" applyProtection="1">
      <alignment horizontal="left"/>
      <protection hidden="1"/>
    </xf>
    <xf numFmtId="0" fontId="2" fillId="0" borderId="34" xfId="0" applyFont="1" applyBorder="1" applyAlignment="1" applyProtection="1">
      <alignment wrapText="1"/>
      <protection hidden="1"/>
    </xf>
    <xf numFmtId="0" fontId="12" fillId="0" borderId="39" xfId="0" applyFont="1" applyBorder="1" applyAlignment="1" applyProtection="1">
      <alignment horizontal="center" wrapText="1"/>
      <protection hidden="1"/>
    </xf>
    <xf numFmtId="0" fontId="2" fillId="0" borderId="6" xfId="0" applyFont="1" applyBorder="1" applyAlignment="1" applyProtection="1">
      <alignment horizontal="center" wrapText="1"/>
      <protection hidden="1"/>
    </xf>
    <xf numFmtId="0" fontId="2" fillId="0" borderId="34" xfId="0" applyFont="1" applyFill="1" applyBorder="1" applyAlignment="1" applyProtection="1">
      <alignment wrapText="1"/>
      <protection hidden="1"/>
    </xf>
    <xf numFmtId="0" fontId="2" fillId="0" borderId="39" xfId="0" applyFont="1" applyBorder="1" applyAlignment="1" applyProtection="1">
      <protection hidden="1"/>
    </xf>
    <xf numFmtId="0" fontId="12" fillId="0" borderId="0" xfId="0" applyFont="1" applyBorder="1" applyAlignment="1" applyProtection="1">
      <protection hidden="1"/>
    </xf>
    <xf numFmtId="0" fontId="29" fillId="0" borderId="0" xfId="0" applyFont="1" applyBorder="1" applyProtection="1">
      <protection hidden="1"/>
    </xf>
    <xf numFmtId="0" fontId="30" fillId="0" borderId="0" xfId="0" applyFont="1" applyBorder="1" applyProtection="1">
      <protection hidden="1"/>
    </xf>
    <xf numFmtId="43" fontId="2" fillId="0" borderId="0" xfId="1" applyFont="1" applyFill="1" applyAlignment="1" applyProtection="1">
      <alignment vertical="top" wrapText="1"/>
      <protection hidden="1"/>
    </xf>
    <xf numFmtId="0" fontId="2" fillId="0" borderId="42" xfId="0" applyFont="1" applyBorder="1" applyAlignment="1" applyProtection="1">
      <alignment horizontal="left"/>
      <protection hidden="1"/>
    </xf>
    <xf numFmtId="0" fontId="2" fillId="0" borderId="44" xfId="0" applyFont="1" applyBorder="1" applyAlignment="1" applyProtection="1">
      <alignment horizontal="left"/>
      <protection hidden="1"/>
    </xf>
    <xf numFmtId="0" fontId="2" fillId="0" borderId="0" xfId="0" applyFont="1" applyAlignment="1" applyProtection="1">
      <alignment horizontal="right"/>
      <protection hidden="1"/>
    </xf>
    <xf numFmtId="0" fontId="27" fillId="0" borderId="0" xfId="0" applyFont="1" applyAlignment="1" applyProtection="1">
      <alignment horizontal="left"/>
      <protection locked="0" hidden="1"/>
    </xf>
    <xf numFmtId="0" fontId="2" fillId="0" borderId="0" xfId="0" applyFont="1" applyAlignment="1" applyProtection="1">
      <alignment horizontal="left" vertical="top" wrapText="1"/>
      <protection hidden="1"/>
    </xf>
    <xf numFmtId="0" fontId="2" fillId="2" borderId="0" xfId="0" applyFont="1" applyFill="1" applyAlignment="1" applyProtection="1">
      <alignment horizontal="left"/>
      <protection locked="0" hidden="1"/>
    </xf>
    <xf numFmtId="0" fontId="33" fillId="0" borderId="0" xfId="2" applyFont="1" applyAlignment="1" applyProtection="1">
      <alignment horizontal="center"/>
      <protection hidden="1"/>
    </xf>
    <xf numFmtId="0" fontId="36" fillId="0" borderId="0" xfId="2" applyFont="1" applyAlignment="1" applyProtection="1">
      <alignment horizontal="center"/>
      <protection hidden="1"/>
    </xf>
    <xf numFmtId="0" fontId="29" fillId="0" borderId="0" xfId="0" applyFont="1" applyAlignment="1" applyProtection="1">
      <alignment horizontal="center" vertical="center" wrapText="1"/>
      <protection hidden="1"/>
    </xf>
    <xf numFmtId="0" fontId="2" fillId="2" borderId="0" xfId="0" applyFont="1" applyFill="1" applyAlignment="1" applyProtection="1">
      <alignment horizontal="center"/>
      <protection locked="0" hidden="1"/>
    </xf>
    <xf numFmtId="0" fontId="2" fillId="0" borderId="0" xfId="0" applyFont="1" applyBorder="1" applyAlignment="1" applyProtection="1">
      <alignment horizontal="left"/>
      <protection hidden="1"/>
    </xf>
    <xf numFmtId="0" fontId="2" fillId="0" borderId="6" xfId="0" applyFont="1" applyBorder="1" applyAlignment="1" applyProtection="1">
      <alignment horizontal="left"/>
      <protection hidden="1"/>
    </xf>
    <xf numFmtId="0" fontId="2" fillId="0" borderId="0" xfId="0" applyFont="1" applyAlignment="1" applyProtection="1">
      <alignment horizontal="right" vertical="top" wrapText="1"/>
      <protection hidden="1"/>
    </xf>
    <xf numFmtId="0" fontId="2" fillId="0" borderId="1" xfId="0" applyFont="1" applyBorder="1" applyAlignment="1" applyProtection="1">
      <alignment horizontal="left"/>
      <protection hidden="1"/>
    </xf>
    <xf numFmtId="0" fontId="12" fillId="0" borderId="0" xfId="0" applyFont="1" applyAlignment="1" applyProtection="1">
      <alignment horizontal="right"/>
      <protection hidden="1"/>
    </xf>
    <xf numFmtId="0" fontId="2" fillId="0" borderId="0" xfId="0" applyFont="1" applyAlignment="1" applyProtection="1">
      <alignment horizontal="left"/>
      <protection hidden="1"/>
    </xf>
    <xf numFmtId="0" fontId="2" fillId="0" borderId="0" xfId="0" applyFont="1" applyAlignment="1" applyProtection="1">
      <alignment horizontal="right" wrapText="1"/>
      <protection hidden="1"/>
    </xf>
    <xf numFmtId="0" fontId="5" fillId="0" borderId="0" xfId="0" applyFont="1" applyAlignment="1" applyProtection="1">
      <alignment horizontal="left" vertical="top"/>
      <protection hidden="1"/>
    </xf>
    <xf numFmtId="0" fontId="2" fillId="0" borderId="0" xfId="0" applyFont="1" applyAlignment="1" applyProtection="1">
      <alignment horizontal="center" wrapText="1"/>
      <protection hidden="1"/>
    </xf>
    <xf numFmtId="0" fontId="31" fillId="0" borderId="0" xfId="0" applyFont="1" applyAlignment="1" applyProtection="1">
      <alignment horizontal="left" vertical="top"/>
      <protection hidden="1"/>
    </xf>
    <xf numFmtId="0" fontId="2" fillId="0" borderId="0" xfId="0" applyFont="1" applyAlignment="1" applyProtection="1">
      <alignment horizontal="center"/>
      <protection locked="0" hidden="1"/>
    </xf>
    <xf numFmtId="0" fontId="2" fillId="0" borderId="15" xfId="0" applyFont="1" applyBorder="1" applyAlignment="1" applyProtection="1">
      <alignment horizontal="left" wrapText="1"/>
      <protection hidden="1"/>
    </xf>
    <xf numFmtId="0" fontId="2" fillId="0" borderId="33" xfId="0" applyFont="1" applyBorder="1" applyAlignment="1" applyProtection="1">
      <alignment horizontal="left" wrapText="1"/>
      <protection hidden="1"/>
    </xf>
    <xf numFmtId="0" fontId="2" fillId="2" borderId="0" xfId="0" applyFont="1" applyFill="1" applyBorder="1" applyAlignment="1" applyProtection="1">
      <alignment horizontal="left"/>
      <protection locked="0" hidden="1"/>
    </xf>
    <xf numFmtId="0" fontId="12" fillId="0" borderId="0" xfId="0" applyFont="1" applyBorder="1" applyAlignment="1" applyProtection="1">
      <alignment horizontal="right"/>
      <protection hidden="1"/>
    </xf>
    <xf numFmtId="0" fontId="12" fillId="0" borderId="33" xfId="0" applyFont="1" applyBorder="1" applyAlignment="1" applyProtection="1">
      <alignment horizontal="right"/>
      <protection hidden="1"/>
    </xf>
    <xf numFmtId="0" fontId="2" fillId="2" borderId="1" xfId="0" applyFont="1" applyFill="1" applyBorder="1" applyAlignment="1" applyProtection="1">
      <alignment horizontal="left"/>
      <protection locked="0" hidden="1"/>
    </xf>
    <xf numFmtId="0" fontId="14" fillId="0" borderId="0" xfId="0" applyFont="1" applyAlignment="1" applyProtection="1">
      <alignment horizontal="left" vertical="top"/>
      <protection hidden="1"/>
    </xf>
    <xf numFmtId="0" fontId="2" fillId="0" borderId="0" xfId="0" applyFont="1" applyAlignment="1" applyProtection="1">
      <alignment horizontal="center"/>
      <protection hidden="1"/>
    </xf>
    <xf numFmtId="43" fontId="2" fillId="2" borderId="0" xfId="1" applyFont="1" applyFill="1" applyAlignment="1" applyProtection="1">
      <alignment horizontal="right" vertical="top" wrapText="1"/>
      <protection locked="0" hidden="1"/>
    </xf>
    <xf numFmtId="0" fontId="2" fillId="0" borderId="15"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20" fillId="0" borderId="39" xfId="0" applyFont="1" applyBorder="1" applyAlignment="1" applyProtection="1">
      <alignment horizontal="left" wrapText="1"/>
      <protection hidden="1"/>
    </xf>
    <xf numFmtId="0" fontId="20" fillId="0" borderId="34" xfId="0" applyFont="1" applyBorder="1" applyAlignment="1" applyProtection="1">
      <alignment horizontal="left" wrapText="1"/>
      <protection hidden="1"/>
    </xf>
    <xf numFmtId="0" fontId="20" fillId="0" borderId="15" xfId="0" applyFont="1" applyBorder="1" applyAlignment="1" applyProtection="1">
      <alignment horizontal="left" wrapText="1"/>
      <protection hidden="1"/>
    </xf>
    <xf numFmtId="0" fontId="20" fillId="0" borderId="33" xfId="0" applyFont="1" applyBorder="1" applyAlignment="1" applyProtection="1">
      <alignment horizontal="left" wrapText="1"/>
      <protection hidden="1"/>
    </xf>
    <xf numFmtId="0" fontId="2" fillId="0" borderId="0" xfId="0" applyFont="1" applyFill="1" applyAlignment="1" applyProtection="1">
      <alignment horizontal="left"/>
      <protection hidden="1"/>
    </xf>
    <xf numFmtId="0" fontId="2" fillId="0" borderId="0" xfId="0" applyFont="1" applyFill="1" applyAlignment="1" applyProtection="1">
      <alignment horizontal="left" vertical="top"/>
      <protection hidden="1"/>
    </xf>
    <xf numFmtId="0" fontId="2" fillId="0" borderId="33" xfId="0" applyFont="1" applyFill="1" applyBorder="1" applyAlignment="1" applyProtection="1">
      <alignment horizontal="left" vertical="top"/>
      <protection hidden="1"/>
    </xf>
    <xf numFmtId="0" fontId="2" fillId="0" borderId="33" xfId="0" applyFont="1" applyBorder="1" applyAlignment="1" applyProtection="1">
      <alignment horizontal="left"/>
      <protection hidden="1"/>
    </xf>
    <xf numFmtId="0" fontId="2" fillId="0" borderId="33" xfId="0" applyFont="1" applyFill="1" applyBorder="1" applyAlignment="1" applyProtection="1">
      <alignment horizontal="left"/>
      <protection hidden="1"/>
    </xf>
    <xf numFmtId="0" fontId="10" fillId="0" borderId="0" xfId="0" applyFont="1" applyAlignment="1" applyProtection="1">
      <alignment horizontal="center" vertical="top" textRotation="90"/>
      <protection hidden="1"/>
    </xf>
    <xf numFmtId="0" fontId="7" fillId="0" borderId="0" xfId="0" applyFont="1" applyAlignment="1" applyProtection="1">
      <alignment horizontal="center" vertical="top"/>
      <protection hidden="1"/>
    </xf>
    <xf numFmtId="0" fontId="20" fillId="0" borderId="39" xfId="0" applyFont="1" applyBorder="1" applyAlignment="1" applyProtection="1">
      <alignment horizontal="left"/>
      <protection hidden="1"/>
    </xf>
    <xf numFmtId="0" fontId="20" fillId="0" borderId="6" xfId="0" applyFont="1" applyBorder="1" applyAlignment="1" applyProtection="1">
      <alignment horizontal="left"/>
      <protection hidden="1"/>
    </xf>
    <xf numFmtId="0" fontId="20" fillId="0" borderId="34" xfId="0" applyFont="1" applyBorder="1" applyAlignment="1" applyProtection="1">
      <alignment horizontal="left"/>
      <protection hidden="1"/>
    </xf>
    <xf numFmtId="0" fontId="12" fillId="0" borderId="31" xfId="0" applyFont="1" applyBorder="1" applyAlignment="1" applyProtection="1">
      <alignment wrapText="1"/>
      <protection hidden="1"/>
    </xf>
    <xf numFmtId="0" fontId="12" fillId="0" borderId="35" xfId="0" applyFont="1" applyBorder="1" applyAlignment="1" applyProtection="1">
      <alignment wrapText="1"/>
      <protection hidden="1"/>
    </xf>
    <xf numFmtId="0" fontId="28" fillId="0" borderId="42" xfId="0" applyFont="1" applyBorder="1" applyAlignment="1" applyProtection="1">
      <alignment horizontal="center" vertical="top"/>
      <protection hidden="1"/>
    </xf>
    <xf numFmtId="0" fontId="2" fillId="2" borderId="0" xfId="0" applyFont="1" applyFill="1" applyAlignment="1" applyProtection="1">
      <alignment horizontal="left" vertical="top"/>
      <protection locked="0" hidden="1"/>
    </xf>
    <xf numFmtId="0" fontId="12" fillId="0" borderId="0" xfId="3" applyFont="1" applyAlignment="1" applyProtection="1">
      <alignment horizontal="left"/>
      <protection hidden="1"/>
    </xf>
    <xf numFmtId="0" fontId="12" fillId="0" borderId="30" xfId="3" applyFont="1" applyFill="1" applyBorder="1" applyAlignment="1" applyProtection="1">
      <alignment horizontal="right" vertical="center"/>
      <protection hidden="1"/>
    </xf>
    <xf numFmtId="0" fontId="12" fillId="0" borderId="31" xfId="3" applyFont="1" applyFill="1" applyBorder="1" applyAlignment="1" applyProtection="1">
      <alignment horizontal="right" vertical="center"/>
      <protection hidden="1"/>
    </xf>
    <xf numFmtId="0" fontId="12" fillId="0" borderId="9" xfId="3" applyFont="1" applyBorder="1" applyAlignment="1" applyProtection="1">
      <alignment horizontal="center" vertical="center" shrinkToFit="1"/>
      <protection hidden="1"/>
    </xf>
    <xf numFmtId="0" fontId="2" fillId="0" borderId="10" xfId="3" applyFont="1" applyBorder="1" applyAlignment="1" applyProtection="1">
      <alignment horizontal="center" vertical="center" shrinkToFit="1"/>
      <protection hidden="1"/>
    </xf>
    <xf numFmtId="0" fontId="2" fillId="0" borderId="11" xfId="3" applyFont="1" applyBorder="1" applyAlignment="1" applyProtection="1">
      <alignment horizontal="center" vertical="center" shrinkToFit="1"/>
      <protection hidden="1"/>
    </xf>
    <xf numFmtId="0" fontId="2" fillId="0" borderId="0" xfId="3" applyFont="1" applyAlignment="1" applyProtection="1">
      <alignment horizontal="left"/>
      <protection hidden="1"/>
    </xf>
    <xf numFmtId="0" fontId="12" fillId="0" borderId="7" xfId="3" applyFont="1" applyBorder="1" applyAlignment="1" applyProtection="1">
      <alignment horizontal="left" vertical="center"/>
      <protection hidden="1"/>
    </xf>
    <xf numFmtId="0" fontId="12" fillId="0" borderId="8" xfId="3" applyFont="1" applyBorder="1" applyAlignment="1" applyProtection="1">
      <alignment horizontal="left" vertical="center"/>
      <protection hidden="1"/>
    </xf>
    <xf numFmtId="0" fontId="18" fillId="0" borderId="9" xfId="3" applyFont="1" applyBorder="1" applyAlignment="1" applyProtection="1">
      <alignment horizontal="center" vertical="center" shrinkToFit="1"/>
      <protection hidden="1"/>
    </xf>
    <xf numFmtId="0" fontId="16" fillId="0" borderId="10" xfId="3" applyFont="1" applyBorder="1" applyAlignment="1" applyProtection="1">
      <alignment horizontal="center" vertical="center" shrinkToFit="1"/>
      <protection hidden="1"/>
    </xf>
    <xf numFmtId="0" fontId="16" fillId="0" borderId="11" xfId="3" applyFont="1" applyBorder="1" applyAlignment="1" applyProtection="1">
      <alignment horizontal="center" vertical="center" shrinkToFit="1"/>
      <protection hidden="1"/>
    </xf>
    <xf numFmtId="0" fontId="30" fillId="0" borderId="0" xfId="2" applyFont="1" applyAlignment="1" applyProtection="1">
      <alignment horizontal="center"/>
      <protection hidden="1"/>
    </xf>
    <xf numFmtId="0" fontId="2" fillId="0" borderId="0" xfId="0" applyFont="1" applyAlignment="1" applyProtection="1">
      <alignment horizontal="left"/>
    </xf>
    <xf numFmtId="0" fontId="2" fillId="0" borderId="15" xfId="0" applyFont="1" applyBorder="1" applyAlignment="1" applyProtection="1">
      <alignment horizontal="center" textRotation="90" wrapText="1"/>
    </xf>
    <xf numFmtId="0" fontId="12" fillId="0" borderId="0" xfId="0" applyFont="1" applyBorder="1" applyAlignment="1" applyProtection="1">
      <alignment horizontal="center" vertical="top"/>
    </xf>
    <xf numFmtId="0" fontId="12" fillId="0" borderId="33" xfId="0" applyFont="1" applyBorder="1" applyAlignment="1" applyProtection="1">
      <alignment horizontal="center" vertical="top"/>
    </xf>
    <xf numFmtId="0" fontId="2" fillId="4" borderId="0" xfId="0" applyFont="1" applyFill="1" applyBorder="1" applyAlignment="1" applyProtection="1">
      <alignment horizontal="center"/>
    </xf>
    <xf numFmtId="0" fontId="2" fillId="4" borderId="33" xfId="0" applyFont="1" applyFill="1" applyBorder="1" applyAlignment="1" applyProtection="1">
      <alignment horizontal="center"/>
    </xf>
    <xf numFmtId="0" fontId="2" fillId="0" borderId="39" xfId="0" applyFont="1" applyBorder="1" applyAlignment="1" applyProtection="1">
      <alignment horizontal="left"/>
    </xf>
    <xf numFmtId="0" fontId="2" fillId="0" borderId="6" xfId="0" applyFont="1" applyBorder="1" applyAlignment="1" applyProtection="1">
      <alignment horizontal="left"/>
    </xf>
    <xf numFmtId="0" fontId="2" fillId="0" borderId="34" xfId="0" applyFont="1" applyBorder="1" applyAlignment="1" applyProtection="1">
      <alignment horizontal="left"/>
    </xf>
    <xf numFmtId="0" fontId="2" fillId="0" borderId="6" xfId="0" applyFont="1" applyBorder="1" applyAlignment="1" applyProtection="1">
      <alignment horizontal="left" wrapText="1"/>
    </xf>
    <xf numFmtId="0" fontId="2" fillId="0" borderId="34" xfId="0" applyFont="1" applyBorder="1" applyAlignment="1" applyProtection="1">
      <alignment horizontal="left" wrapText="1"/>
    </xf>
    <xf numFmtId="0" fontId="5" fillId="0" borderId="0" xfId="0" applyFont="1" applyAlignment="1" applyProtection="1">
      <alignment horizontal="left" vertical="top"/>
    </xf>
    <xf numFmtId="0" fontId="2" fillId="0" borderId="15" xfId="0" applyFont="1" applyBorder="1" applyAlignment="1" applyProtection="1">
      <alignment horizontal="center" wrapText="1"/>
    </xf>
    <xf numFmtId="0" fontId="2" fillId="0" borderId="0" xfId="0" applyFont="1" applyBorder="1" applyAlignment="1" applyProtection="1">
      <alignment horizontal="center" wrapText="1"/>
    </xf>
  </cellXfs>
  <cellStyles count="7">
    <cellStyle name="Hyperlink" xfId="2" builtinId="8"/>
    <cellStyle name="Komma" xfId="1" builtinId="3"/>
    <cellStyle name="Komma 2" xfId="4"/>
    <cellStyle name="Prozent" xfId="6" builtinId="5"/>
    <cellStyle name="Prozent 2" xfId="5"/>
    <cellStyle name="Standard" xfId="0" builtinId="0"/>
    <cellStyle name="Standard 3" xfId="3"/>
  </cellStyles>
  <dxfs count="17">
    <dxf>
      <font>
        <color theme="0"/>
      </font>
      <fill>
        <patternFill patternType="none">
          <bgColor auto="1"/>
        </patternFill>
      </fill>
    </dxf>
    <dxf>
      <font>
        <color auto="1"/>
      </font>
      <fill>
        <patternFill>
          <bgColor theme="0" tint="-0.14996795556505021"/>
        </patternFill>
      </fill>
    </dxf>
    <dxf>
      <font>
        <color theme="0"/>
      </font>
      <fill>
        <patternFill patternType="none">
          <bgColor auto="1"/>
        </patternFill>
      </fill>
      <border>
        <left/>
        <right/>
        <top/>
        <bottom/>
        <vertical/>
        <horizontal/>
      </border>
    </dxf>
    <dxf>
      <font>
        <color auto="1"/>
      </font>
      <fill>
        <patternFill>
          <bgColor theme="0" tint="-0.14996795556505021"/>
        </patternFill>
      </fill>
    </dxf>
    <dxf>
      <fill>
        <patternFill>
          <bgColor theme="0" tint="-0.14996795556505021"/>
        </patternFill>
      </fill>
    </dxf>
    <dxf>
      <fill>
        <patternFill>
          <bgColor theme="0" tint="-0.14996795556505021"/>
        </patternFill>
      </fill>
    </dxf>
    <dxf>
      <font>
        <color theme="0"/>
      </font>
    </dxf>
    <dxf>
      <font>
        <color theme="0"/>
      </font>
      <fill>
        <patternFill>
          <bgColor theme="0"/>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2"/>
      </font>
    </dxf>
    <dxf>
      <font>
        <color rgb="FFFF0000"/>
      </font>
    </dxf>
    <dxf>
      <font>
        <color theme="2"/>
      </font>
    </dxf>
    <dxf>
      <font>
        <color theme="0"/>
      </font>
      <fill>
        <patternFill patternType="none">
          <bgColor auto="1"/>
        </patternFill>
      </fill>
      <border>
        <left/>
        <right/>
        <top/>
        <bottom/>
        <vertical/>
        <horizontal/>
      </border>
    </dxf>
    <dxf>
      <fill>
        <patternFill>
          <bgColor theme="0"/>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699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15</xdr:col>
      <xdr:colOff>38100</xdr:colOff>
      <xdr:row>119</xdr:row>
      <xdr:rowOff>161925</xdr:rowOff>
    </xdr:from>
    <xdr:to>
      <xdr:col>18</xdr:col>
      <xdr:colOff>533400</xdr:colOff>
      <xdr:row>168</xdr:row>
      <xdr:rowOff>66302</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34325" y="22479000"/>
          <a:ext cx="7610475" cy="8772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85725</xdr:colOff>
      <xdr:row>101</xdr:row>
      <xdr:rowOff>95249</xdr:rowOff>
    </xdr:from>
    <xdr:to>
      <xdr:col>36</xdr:col>
      <xdr:colOff>405859</xdr:colOff>
      <xdr:row>114</xdr:row>
      <xdr:rowOff>156891</xdr:rowOff>
    </xdr:to>
    <xdr:pic>
      <xdr:nvPicPr>
        <xdr:cNvPr id="3" name="Grafik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640425" y="19154774"/>
          <a:ext cx="8749759" cy="24143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Lenum Designfarben">
      <a:dk1>
        <a:srgbClr val="000000"/>
      </a:dk1>
      <a:lt1>
        <a:srgbClr val="FFFFFF"/>
      </a:lt1>
      <a:dk2>
        <a:srgbClr val="8B70AC"/>
      </a:dk2>
      <a:lt2>
        <a:srgbClr val="669900"/>
      </a:lt2>
      <a:accent1>
        <a:srgbClr val="50719A"/>
      </a:accent1>
      <a:accent2>
        <a:srgbClr val="9BBB59"/>
      </a:accent2>
      <a:accent3>
        <a:srgbClr val="7B653B"/>
      </a:accent3>
      <a:accent4>
        <a:srgbClr val="FFF000"/>
      </a:accent4>
      <a:accent5>
        <a:srgbClr val="FF952D"/>
      </a:accent5>
      <a:accent6>
        <a:srgbClr val="C0504D"/>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Z101"/>
  <sheetViews>
    <sheetView tabSelected="1" view="pageLayout" zoomScaleNormal="100" workbookViewId="0">
      <selection activeCell="A2" sqref="A2:K4"/>
    </sheetView>
  </sheetViews>
  <sheetFormatPr baseColWidth="10" defaultColWidth="11.44140625" defaultRowHeight="14.4" x14ac:dyDescent="0.3"/>
  <cols>
    <col min="1" max="1" width="11.6640625" style="63" customWidth="1"/>
    <col min="2" max="2" width="9" style="63" customWidth="1"/>
    <col min="3" max="3" width="15.33203125" style="63" customWidth="1"/>
    <col min="4" max="4" width="15.5546875" style="63" customWidth="1"/>
    <col min="5" max="5" width="11.44140625" style="63"/>
    <col min="6" max="6" width="15" style="63" customWidth="1"/>
    <col min="7" max="7" width="13.88671875" style="63" customWidth="1"/>
    <col min="8" max="8" width="14.33203125" style="63" bestFit="1" customWidth="1"/>
    <col min="9" max="9" width="4.44140625" style="63" bestFit="1" customWidth="1"/>
    <col min="10" max="10" width="13.88671875" style="63" customWidth="1"/>
    <col min="11" max="11" width="8.33203125" style="63" bestFit="1" customWidth="1"/>
    <col min="12" max="12" width="8.88671875" style="63" bestFit="1" customWidth="1"/>
    <col min="13" max="13" width="9.88671875" style="63" hidden="1" customWidth="1"/>
    <col min="14" max="14" width="22.109375" style="63" hidden="1" customWidth="1"/>
    <col min="15" max="15" width="46.109375" style="63" hidden="1" customWidth="1"/>
    <col min="16" max="16" width="9.88671875" style="63" hidden="1" customWidth="1"/>
    <col min="17" max="17" width="14.109375" style="63" hidden="1" customWidth="1"/>
    <col min="18" max="20" width="4.44140625" style="63" hidden="1" customWidth="1"/>
    <col min="21" max="21" width="9.88671875" style="63" hidden="1" customWidth="1"/>
    <col min="22" max="22" width="14.5546875" style="63" hidden="1" customWidth="1"/>
    <col min="23" max="23" width="3" style="63" hidden="1" customWidth="1"/>
    <col min="24" max="24" width="21.109375" style="63" hidden="1" customWidth="1"/>
    <col min="25" max="25" width="18.109375" style="63" hidden="1" customWidth="1"/>
    <col min="26" max="26" width="4.44140625" style="63" hidden="1" customWidth="1"/>
    <col min="27" max="27" width="18.5546875" style="63" hidden="1" customWidth="1"/>
    <col min="28" max="28" width="57.88671875" style="63" hidden="1" customWidth="1"/>
    <col min="29" max="29" width="41.109375" style="63" hidden="1" customWidth="1"/>
    <col min="30" max="30" width="8.109375" style="63" hidden="1" customWidth="1"/>
    <col min="31" max="31" width="14.109375" style="63" hidden="1" customWidth="1"/>
    <col min="32" max="32" width="50" style="63" hidden="1" customWidth="1"/>
    <col min="33" max="33" width="35.33203125" style="63" hidden="1" customWidth="1"/>
    <col min="34" max="34" width="18.33203125" style="63" hidden="1" customWidth="1"/>
    <col min="35" max="35" width="15.44140625" style="63" hidden="1" customWidth="1"/>
    <col min="36" max="36" width="80.88671875" style="63" hidden="1" customWidth="1"/>
    <col min="37" max="37" width="15.88671875" style="63" hidden="1" customWidth="1"/>
    <col min="38" max="38" width="44.109375" style="63" hidden="1" customWidth="1"/>
    <col min="39" max="39" width="8.44140625" style="63" hidden="1" customWidth="1"/>
    <col min="40" max="40" width="46.6640625" style="63" hidden="1" customWidth="1"/>
    <col min="41" max="41" width="8.44140625" style="63" hidden="1" customWidth="1"/>
    <col min="42" max="42" width="5" style="63" bestFit="1" customWidth="1"/>
    <col min="43" max="43" width="11.6640625" style="63" bestFit="1" customWidth="1"/>
    <col min="44" max="46" width="11.44140625" style="63"/>
    <col min="47" max="47" width="22" style="63" customWidth="1"/>
    <col min="48" max="48" width="19" style="63" customWidth="1"/>
    <col min="49" max="49" width="20.5546875" style="63" customWidth="1"/>
    <col min="50" max="16384" width="11.44140625" style="63"/>
  </cols>
  <sheetData>
    <row r="1" spans="1:12" ht="28.5" customHeight="1" x14ac:dyDescent="0.3"/>
    <row r="2" spans="1:12" ht="25.8" x14ac:dyDescent="0.3">
      <c r="A2" s="267" t="s">
        <v>283</v>
      </c>
      <c r="B2" s="267"/>
      <c r="C2" s="267"/>
      <c r="D2" s="267"/>
      <c r="E2" s="267"/>
      <c r="F2" s="267"/>
      <c r="G2" s="267"/>
      <c r="H2" s="267"/>
      <c r="I2" s="267"/>
      <c r="J2" s="267"/>
      <c r="K2" s="267"/>
      <c r="L2" s="64"/>
    </row>
    <row r="4" spans="1:12" ht="87.75" customHeight="1" x14ac:dyDescent="0.3">
      <c r="A4" s="254" t="s">
        <v>386</v>
      </c>
      <c r="B4" s="254"/>
      <c r="C4" s="254"/>
      <c r="D4" s="254"/>
      <c r="E4" s="254"/>
      <c r="F4" s="254"/>
      <c r="G4" s="254"/>
      <c r="H4" s="254"/>
      <c r="I4" s="254"/>
      <c r="J4" s="254"/>
      <c r="K4" s="254"/>
    </row>
    <row r="5" spans="1:12" ht="10.5" customHeight="1" x14ac:dyDescent="0.3"/>
    <row r="6" spans="1:12" x14ac:dyDescent="0.3">
      <c r="A6" s="63" t="s">
        <v>0</v>
      </c>
      <c r="B6" s="252" t="s">
        <v>462</v>
      </c>
      <c r="C6" s="252"/>
      <c r="D6" s="255"/>
      <c r="E6" s="255"/>
      <c r="F6" s="255"/>
      <c r="G6" s="255"/>
      <c r="H6" s="255"/>
      <c r="I6" s="255"/>
      <c r="K6" s="65"/>
      <c r="L6" s="65"/>
    </row>
    <row r="7" spans="1:12" x14ac:dyDescent="0.3">
      <c r="B7" s="252" t="s">
        <v>107</v>
      </c>
      <c r="C7" s="252"/>
      <c r="D7" s="255"/>
      <c r="E7" s="255"/>
      <c r="F7" s="255"/>
      <c r="G7" s="255"/>
      <c r="H7" s="255"/>
      <c r="I7" s="255"/>
      <c r="K7" s="65"/>
      <c r="L7" s="65"/>
    </row>
    <row r="8" spans="1:12" x14ac:dyDescent="0.3">
      <c r="B8" s="252" t="s">
        <v>277</v>
      </c>
      <c r="C8" s="252"/>
      <c r="D8" s="255"/>
      <c r="E8" s="255"/>
      <c r="F8" s="255"/>
      <c r="G8" s="255"/>
      <c r="H8" s="255"/>
      <c r="I8" s="255"/>
      <c r="K8" s="66"/>
      <c r="L8" s="66"/>
    </row>
    <row r="9" spans="1:12" x14ac:dyDescent="0.3">
      <c r="B9" s="252" t="s">
        <v>280</v>
      </c>
      <c r="C9" s="252"/>
      <c r="D9" s="255"/>
      <c r="E9" s="255"/>
      <c r="F9" s="255"/>
      <c r="G9" s="255"/>
      <c r="H9" s="255"/>
      <c r="I9" s="255"/>
      <c r="K9" s="65"/>
      <c r="L9" s="65"/>
    </row>
    <row r="10" spans="1:12" ht="10.5" customHeight="1" x14ac:dyDescent="0.3"/>
    <row r="11" spans="1:12" x14ac:dyDescent="0.3">
      <c r="A11" s="63" t="s">
        <v>278</v>
      </c>
      <c r="B11" s="252" t="s">
        <v>282</v>
      </c>
      <c r="C11" s="252"/>
      <c r="D11" s="255"/>
      <c r="E11" s="255"/>
      <c r="F11" s="255"/>
      <c r="G11" s="255"/>
      <c r="H11" s="255"/>
      <c r="I11" s="255"/>
      <c r="K11" s="65"/>
      <c r="L11" s="65"/>
    </row>
    <row r="12" spans="1:12" x14ac:dyDescent="0.3">
      <c r="B12" s="252" t="s">
        <v>279</v>
      </c>
      <c r="C12" s="252"/>
      <c r="D12" s="255"/>
      <c r="E12" s="255"/>
      <c r="F12" s="255"/>
      <c r="G12" s="255"/>
      <c r="H12" s="255"/>
      <c r="I12" s="255"/>
      <c r="K12" s="65"/>
      <c r="L12" s="65"/>
    </row>
    <row r="13" spans="1:12" x14ac:dyDescent="0.3">
      <c r="B13" s="252" t="s">
        <v>280</v>
      </c>
      <c r="C13" s="252"/>
      <c r="D13" s="255"/>
      <c r="E13" s="255"/>
      <c r="F13" s="255"/>
      <c r="G13" s="255"/>
      <c r="H13" s="255"/>
      <c r="I13" s="255"/>
      <c r="K13" s="66"/>
      <c r="L13" s="66"/>
    </row>
    <row r="14" spans="1:12" x14ac:dyDescent="0.3">
      <c r="B14" s="252" t="s">
        <v>281</v>
      </c>
      <c r="C14" s="252"/>
      <c r="D14" s="255"/>
      <c r="E14" s="255"/>
      <c r="F14" s="255"/>
      <c r="G14" s="255"/>
      <c r="H14" s="255"/>
      <c r="I14" s="255"/>
      <c r="K14" s="65"/>
      <c r="L14" s="65"/>
    </row>
    <row r="15" spans="1:12" ht="10.5" customHeight="1" x14ac:dyDescent="0.3"/>
    <row r="16" spans="1:12" ht="16.2" x14ac:dyDescent="0.3">
      <c r="A16" s="252" t="s">
        <v>404</v>
      </c>
      <c r="B16" s="252"/>
      <c r="C16" s="259"/>
      <c r="D16" s="259"/>
      <c r="F16" s="265" t="s">
        <v>275</v>
      </c>
      <c r="G16" s="265"/>
      <c r="H16" s="67"/>
      <c r="I16" s="63" t="s">
        <v>11</v>
      </c>
    </row>
    <row r="17" spans="1:17" ht="10.5" customHeight="1" x14ac:dyDescent="0.3">
      <c r="F17" s="65"/>
      <c r="G17" s="65"/>
      <c r="H17" s="65"/>
      <c r="I17" s="65"/>
    </row>
    <row r="18" spans="1:17" x14ac:dyDescent="0.3">
      <c r="A18" s="252" t="s">
        <v>270</v>
      </c>
      <c r="B18" s="252"/>
      <c r="C18" s="259"/>
      <c r="D18" s="259"/>
      <c r="F18" s="65"/>
      <c r="G18" s="65"/>
      <c r="H18" s="65"/>
    </row>
    <row r="19" spans="1:17" ht="10.5" customHeight="1" x14ac:dyDescent="0.3">
      <c r="A19" s="68"/>
      <c r="B19" s="68"/>
      <c r="C19" s="68"/>
      <c r="D19" s="68"/>
      <c r="F19" s="65"/>
      <c r="G19" s="65"/>
      <c r="H19" s="65"/>
    </row>
    <row r="20" spans="1:17" x14ac:dyDescent="0.3">
      <c r="A20" s="68"/>
      <c r="B20" s="68"/>
      <c r="C20" s="68" t="s">
        <v>284</v>
      </c>
      <c r="D20" s="68" t="s">
        <v>285</v>
      </c>
      <c r="F20" s="278" t="str">
        <f>IF(C18="","","Badebetrieb von bis (minimal 3 Monate!)")</f>
        <v/>
      </c>
      <c r="G20" s="278"/>
      <c r="H20" s="278"/>
      <c r="I20" s="278"/>
    </row>
    <row r="21" spans="1:17" x14ac:dyDescent="0.3">
      <c r="A21" s="252" t="s">
        <v>286</v>
      </c>
      <c r="B21" s="252"/>
      <c r="C21" s="69"/>
      <c r="D21" s="69"/>
      <c r="E21" s="63" t="s">
        <v>14</v>
      </c>
      <c r="F21" s="70"/>
      <c r="G21" s="71" t="str">
        <f>IF(C18="","","bis")</f>
        <v/>
      </c>
      <c r="H21" s="270"/>
      <c r="I21" s="270"/>
    </row>
    <row r="22" spans="1:17" x14ac:dyDescent="0.3">
      <c r="A22" s="252" t="s">
        <v>287</v>
      </c>
      <c r="B22" s="252"/>
      <c r="C22" s="69"/>
      <c r="D22" s="69"/>
      <c r="E22" s="63" t="s">
        <v>14</v>
      </c>
      <c r="F22" s="68" t="str">
        <f>IF(C18="","","Lage:")</f>
        <v/>
      </c>
      <c r="G22" s="270"/>
      <c r="H22" s="270"/>
      <c r="I22" s="270"/>
    </row>
    <row r="23" spans="1:17" x14ac:dyDescent="0.3">
      <c r="A23" s="252" t="s">
        <v>288</v>
      </c>
      <c r="B23" s="252"/>
      <c r="C23" s="69"/>
      <c r="D23" s="69"/>
      <c r="E23" s="63" t="s">
        <v>14</v>
      </c>
      <c r="F23" s="68" t="s">
        <v>22</v>
      </c>
      <c r="G23" s="259"/>
      <c r="H23" s="259"/>
      <c r="I23" s="259"/>
    </row>
    <row r="24" spans="1:17" x14ac:dyDescent="0.3">
      <c r="A24" s="252" t="s">
        <v>304</v>
      </c>
      <c r="B24" s="252"/>
      <c r="C24" s="69"/>
      <c r="D24" s="72"/>
      <c r="E24" s="63" t="str">
        <f>IF(C24=Daten!$P$51,"Auswahl:",IF(C24=Daten!$P$52,"[°C]",""))</f>
        <v/>
      </c>
      <c r="F24" s="253"/>
      <c r="G24" s="253"/>
      <c r="H24" s="253"/>
      <c r="I24" s="253"/>
    </row>
    <row r="25" spans="1:17" x14ac:dyDescent="0.3">
      <c r="A25" s="252" t="s">
        <v>308</v>
      </c>
      <c r="B25" s="252"/>
      <c r="C25" s="69"/>
      <c r="D25" s="72"/>
      <c r="E25" s="63" t="str">
        <f>IF(C25=Daten!$P$51,"Auswahl:",IF(C25=Daten!$P$52,"[°C]",""))</f>
        <v/>
      </c>
      <c r="F25" s="253"/>
      <c r="G25" s="253"/>
      <c r="H25" s="253"/>
      <c r="I25" s="253"/>
    </row>
    <row r="26" spans="1:17" x14ac:dyDescent="0.3">
      <c r="A26" s="252" t="str">
        <f>IF(C18=Daten!P29,"Eingestellte relative Feuchte im Hallenbad:","")</f>
        <v/>
      </c>
      <c r="B26" s="252"/>
      <c r="C26" s="252"/>
      <c r="D26" s="74"/>
      <c r="E26" s="63" t="str">
        <f>IF(C18=Daten!P29,"[%]","")</f>
        <v/>
      </c>
      <c r="F26" s="252" t="str">
        <f>IF(C18=Daten!P29,"Beckenwasserkondensator:","")</f>
        <v/>
      </c>
      <c r="G26" s="252"/>
      <c r="H26" s="74"/>
      <c r="I26" s="73"/>
      <c r="J26" s="256" t="s">
        <v>460</v>
      </c>
      <c r="K26" s="257"/>
    </row>
    <row r="27" spans="1:17" ht="19.8" x14ac:dyDescent="0.3">
      <c r="A27" s="269" t="s">
        <v>378</v>
      </c>
      <c r="B27" s="269"/>
      <c r="C27" s="269"/>
      <c r="D27" s="269"/>
      <c r="E27" s="269"/>
      <c r="F27" s="269"/>
      <c r="G27" s="269"/>
      <c r="H27" s="75"/>
      <c r="I27" s="291" t="s">
        <v>12</v>
      </c>
      <c r="J27" s="292" t="s">
        <v>2</v>
      </c>
      <c r="K27" s="292"/>
      <c r="N27" s="76"/>
    </row>
    <row r="28" spans="1:17" x14ac:dyDescent="0.3">
      <c r="I28" s="291"/>
    </row>
    <row r="29" spans="1:17" ht="18" x14ac:dyDescent="0.3">
      <c r="A29" s="277" t="s">
        <v>380</v>
      </c>
      <c r="B29" s="277"/>
      <c r="C29" s="277"/>
      <c r="D29" s="277"/>
      <c r="E29" s="277"/>
      <c r="F29" s="277"/>
      <c r="G29" s="277"/>
      <c r="H29" s="277"/>
      <c r="I29" s="291"/>
    </row>
    <row r="30" spans="1:17" ht="43.2" x14ac:dyDescent="0.3">
      <c r="A30" s="260" t="s">
        <v>4</v>
      </c>
      <c r="B30" s="260"/>
      <c r="C30" s="260"/>
      <c r="D30" s="77" t="s">
        <v>5</v>
      </c>
      <c r="E30" s="77" t="s">
        <v>6</v>
      </c>
      <c r="F30" s="78" t="s">
        <v>273</v>
      </c>
      <c r="G30" s="271" t="s">
        <v>272</v>
      </c>
      <c r="H30" s="272"/>
    </row>
    <row r="31" spans="1:17" ht="30" customHeight="1" x14ac:dyDescent="0.3">
      <c r="A31" s="273"/>
      <c r="B31" s="273"/>
      <c r="C31" s="273"/>
      <c r="D31" s="79"/>
      <c r="E31" s="80"/>
      <c r="F31" s="81">
        <f>IF(ISNA($T$47),0,$T$47)</f>
        <v>0</v>
      </c>
      <c r="G31" s="82">
        <f>D31*E31*F31</f>
        <v>0</v>
      </c>
      <c r="H31" s="83" t="s">
        <v>3</v>
      </c>
      <c r="O31" s="84"/>
      <c r="P31" s="84"/>
      <c r="Q31" s="84"/>
    </row>
    <row r="32" spans="1:17" ht="30" customHeight="1" x14ac:dyDescent="0.3">
      <c r="A32" s="273"/>
      <c r="B32" s="273"/>
      <c r="C32" s="273"/>
      <c r="D32" s="79"/>
      <c r="E32" s="80"/>
      <c r="F32" s="81">
        <f t="shared" ref="F32:F37" si="0">IF(ISNA($T$47),0,$T$47)</f>
        <v>0</v>
      </c>
      <c r="G32" s="82">
        <f>D32*E32*F32</f>
        <v>0</v>
      </c>
      <c r="H32" s="83" t="s">
        <v>3</v>
      </c>
      <c r="N32" s="85"/>
      <c r="O32" s="84"/>
      <c r="P32" s="84"/>
      <c r="Q32" s="84"/>
    </row>
    <row r="33" spans="1:48" ht="30" customHeight="1" x14ac:dyDescent="0.3">
      <c r="A33" s="273"/>
      <c r="B33" s="273"/>
      <c r="C33" s="273"/>
      <c r="D33" s="79"/>
      <c r="E33" s="80"/>
      <c r="F33" s="81">
        <f t="shared" si="0"/>
        <v>0</v>
      </c>
      <c r="G33" s="82">
        <f t="shared" ref="G33:G37" si="1">D33*E33*F33</f>
        <v>0</v>
      </c>
      <c r="H33" s="83" t="s">
        <v>3</v>
      </c>
      <c r="O33" s="84"/>
      <c r="P33" s="84"/>
      <c r="Q33" s="84"/>
    </row>
    <row r="34" spans="1:48" ht="30" customHeight="1" x14ac:dyDescent="0.3">
      <c r="A34" s="273"/>
      <c r="B34" s="273"/>
      <c r="C34" s="273"/>
      <c r="D34" s="79"/>
      <c r="E34" s="80"/>
      <c r="F34" s="81">
        <f t="shared" si="0"/>
        <v>0</v>
      </c>
      <c r="G34" s="82">
        <f t="shared" si="1"/>
        <v>0</v>
      </c>
      <c r="H34" s="83" t="s">
        <v>3</v>
      </c>
      <c r="O34" s="84"/>
      <c r="P34" s="84"/>
      <c r="Q34" s="84"/>
    </row>
    <row r="35" spans="1:48" ht="30" customHeight="1" x14ac:dyDescent="0.3">
      <c r="A35" s="273"/>
      <c r="B35" s="273"/>
      <c r="C35" s="273"/>
      <c r="D35" s="79"/>
      <c r="E35" s="80"/>
      <c r="F35" s="81">
        <f t="shared" si="0"/>
        <v>0</v>
      </c>
      <c r="G35" s="82">
        <f t="shared" si="1"/>
        <v>0</v>
      </c>
      <c r="H35" s="83" t="s">
        <v>3</v>
      </c>
      <c r="N35" s="84"/>
      <c r="O35" s="84"/>
      <c r="P35" s="84"/>
      <c r="Q35" s="84"/>
      <c r="R35" s="84"/>
      <c r="S35" s="84"/>
      <c r="T35" s="84"/>
      <c r="U35" s="84"/>
      <c r="V35" s="84"/>
      <c r="W35" s="84"/>
      <c r="X35" s="84"/>
      <c r="Y35" s="84"/>
      <c r="Z35" s="84"/>
      <c r="AA35" s="84"/>
    </row>
    <row r="36" spans="1:48" ht="30" customHeight="1" x14ac:dyDescent="0.3">
      <c r="A36" s="273"/>
      <c r="B36" s="273"/>
      <c r="C36" s="273"/>
      <c r="D36" s="79"/>
      <c r="E36" s="80"/>
      <c r="F36" s="81">
        <f t="shared" si="0"/>
        <v>0</v>
      </c>
      <c r="G36" s="82">
        <f t="shared" si="1"/>
        <v>0</v>
      </c>
      <c r="H36" s="83" t="s">
        <v>3</v>
      </c>
    </row>
    <row r="37" spans="1:48" ht="30" customHeight="1" x14ac:dyDescent="0.3">
      <c r="A37" s="276"/>
      <c r="B37" s="276"/>
      <c r="C37" s="276"/>
      <c r="D37" s="86"/>
      <c r="E37" s="87"/>
      <c r="F37" s="88">
        <f t="shared" si="0"/>
        <v>0</v>
      </c>
      <c r="G37" s="89">
        <f t="shared" si="1"/>
        <v>0</v>
      </c>
      <c r="H37" s="90" t="s">
        <v>3</v>
      </c>
    </row>
    <row r="38" spans="1:48" ht="5.25" customHeight="1" x14ac:dyDescent="0.3">
      <c r="A38" s="91"/>
      <c r="B38" s="91"/>
      <c r="C38" s="91"/>
      <c r="D38" s="91"/>
      <c r="E38" s="91"/>
      <c r="F38" s="83"/>
      <c r="G38" s="82"/>
      <c r="H38" s="83"/>
    </row>
    <row r="39" spans="1:48" ht="30" customHeight="1" thickBot="1" x14ac:dyDescent="0.35">
      <c r="A39" s="274" t="s">
        <v>7</v>
      </c>
      <c r="B39" s="274"/>
      <c r="C39" s="274"/>
      <c r="D39" s="274"/>
      <c r="E39" s="274"/>
      <c r="F39" s="275"/>
      <c r="G39" s="92">
        <f>SUM(G31:G37)</f>
        <v>0</v>
      </c>
      <c r="H39" s="93" t="s">
        <v>3</v>
      </c>
      <c r="I39" s="94">
        <v>2</v>
      </c>
      <c r="J39" s="95">
        <f>G39*I39</f>
        <v>0</v>
      </c>
      <c r="K39" s="96" t="s">
        <v>3</v>
      </c>
      <c r="L39" s="97"/>
    </row>
    <row r="41" spans="1:48" ht="19.8" x14ac:dyDescent="0.35">
      <c r="A41" s="277" t="s">
        <v>379</v>
      </c>
      <c r="B41" s="277"/>
      <c r="C41" s="277"/>
      <c r="D41" s="277"/>
      <c r="E41" s="277"/>
      <c r="F41" s="277"/>
      <c r="G41" s="277"/>
      <c r="H41" s="277"/>
      <c r="I41" s="291" t="s">
        <v>12</v>
      </c>
      <c r="J41" s="292" t="s">
        <v>2</v>
      </c>
      <c r="K41" s="292"/>
      <c r="N41" s="286" t="s">
        <v>426</v>
      </c>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row>
    <row r="42" spans="1:48" ht="43.5" customHeight="1" x14ac:dyDescent="0.3">
      <c r="A42" s="98" t="s">
        <v>322</v>
      </c>
      <c r="B42" s="268" t="s">
        <v>327</v>
      </c>
      <c r="C42" s="268"/>
      <c r="D42" s="268" t="str">
        <f>IF(C18=Daten!P29,"Raumtemperatur Hallenbad","Mittelwert Lufttemperatur während dem Badebetrieb")</f>
        <v>Mittelwert Lufttemperatur während dem Badebetrieb</v>
      </c>
      <c r="E42" s="268"/>
      <c r="F42" s="98" t="s">
        <v>324</v>
      </c>
      <c r="G42" s="98" t="s">
        <v>290</v>
      </c>
      <c r="H42" s="98" t="s">
        <v>325</v>
      </c>
      <c r="I42" s="291"/>
      <c r="N42" s="254" t="s">
        <v>407</v>
      </c>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4"/>
      <c r="AO42" s="254"/>
    </row>
    <row r="43" spans="1:48" ht="16.5" customHeight="1" x14ac:dyDescent="0.3">
      <c r="A43" s="98" t="s">
        <v>11</v>
      </c>
      <c r="B43" s="268" t="s">
        <v>323</v>
      </c>
      <c r="C43" s="268"/>
      <c r="D43" s="268" t="s">
        <v>323</v>
      </c>
      <c r="E43" s="268"/>
      <c r="F43" s="98" t="s">
        <v>323</v>
      </c>
      <c r="G43" s="98"/>
      <c r="H43" s="98" t="s">
        <v>326</v>
      </c>
      <c r="I43" s="291"/>
      <c r="N43" s="287" t="s">
        <v>408</v>
      </c>
      <c r="O43" s="287"/>
      <c r="P43" s="287"/>
      <c r="Q43" s="287"/>
      <c r="R43" s="287"/>
      <c r="S43" s="287"/>
      <c r="T43" s="287"/>
      <c r="U43" s="287"/>
      <c r="V43" s="287"/>
      <c r="W43" s="287"/>
      <c r="X43" s="287"/>
      <c r="Y43" s="287"/>
      <c r="Z43" s="288"/>
      <c r="AA43" s="99" t="s">
        <v>347</v>
      </c>
      <c r="AB43" s="100"/>
      <c r="AC43" s="100"/>
      <c r="AD43" s="100"/>
      <c r="AE43" s="100"/>
      <c r="AF43" s="100"/>
      <c r="AG43" s="101"/>
      <c r="AH43" s="293" t="s">
        <v>348</v>
      </c>
      <c r="AI43" s="294"/>
      <c r="AJ43" s="294"/>
      <c r="AK43" s="294"/>
      <c r="AL43" s="294"/>
      <c r="AM43" s="295"/>
      <c r="AN43" s="282" t="s">
        <v>350</v>
      </c>
      <c r="AO43" s="283"/>
      <c r="AP43" s="91"/>
      <c r="AQ43" s="91"/>
    </row>
    <row r="44" spans="1:48" ht="14.25" customHeight="1" x14ac:dyDescent="0.35">
      <c r="A44" s="102">
        <f>C21*C22</f>
        <v>0</v>
      </c>
      <c r="B44" s="259"/>
      <c r="C44" s="259"/>
      <c r="D44" s="103"/>
      <c r="E44" s="104" t="str">
        <f>IF(ISNA(IF(C18=Daten!P30,Schwimmbadbilanz!N63,"")),0,IF(C18=Daten!P30,Schwimmbadbilanz!N63,""))</f>
        <v/>
      </c>
      <c r="F44" s="105" t="s">
        <v>8</v>
      </c>
      <c r="G44" s="106"/>
      <c r="H44" s="107"/>
      <c r="N44" s="265" t="s">
        <v>405</v>
      </c>
      <c r="O44" s="265"/>
      <c r="P44" s="265"/>
      <c r="Q44" s="265"/>
      <c r="R44" s="265"/>
      <c r="S44" s="265"/>
      <c r="T44" s="265"/>
      <c r="U44" s="265"/>
      <c r="V44" s="265"/>
      <c r="W44" s="265"/>
      <c r="X44" s="265"/>
      <c r="Y44" s="265"/>
      <c r="Z44" s="289"/>
      <c r="AA44" s="108"/>
      <c r="AB44" s="91"/>
      <c r="AC44" s="91"/>
      <c r="AD44" s="91"/>
      <c r="AE44" s="91"/>
      <c r="AF44" s="91"/>
      <c r="AG44" s="83"/>
      <c r="AH44" s="280" t="s">
        <v>338</v>
      </c>
      <c r="AI44" s="281"/>
      <c r="AJ44" s="281" t="s">
        <v>340</v>
      </c>
      <c r="AK44" s="281"/>
      <c r="AL44" s="91"/>
      <c r="AM44" s="83"/>
      <c r="AN44" s="284"/>
      <c r="AO44" s="285"/>
      <c r="AP44" s="109"/>
      <c r="AQ44" s="109"/>
    </row>
    <row r="45" spans="1:48" ht="15.6" x14ac:dyDescent="0.35">
      <c r="H45" s="98"/>
      <c r="N45" s="286" t="s">
        <v>406</v>
      </c>
      <c r="O45" s="286"/>
      <c r="P45" s="286"/>
      <c r="Q45" s="286"/>
      <c r="R45" s="286"/>
      <c r="S45" s="286"/>
      <c r="T45" s="286"/>
      <c r="U45" s="286"/>
      <c r="V45" s="286"/>
      <c r="W45" s="286"/>
      <c r="X45" s="286"/>
      <c r="Y45" s="286"/>
      <c r="Z45" s="290"/>
      <c r="AA45" s="108"/>
      <c r="AB45" s="91"/>
      <c r="AC45" s="91"/>
      <c r="AD45" s="91"/>
      <c r="AE45" s="91"/>
      <c r="AF45" s="110"/>
      <c r="AG45" s="111"/>
      <c r="AH45" s="280"/>
      <c r="AI45" s="281"/>
      <c r="AJ45" s="281"/>
      <c r="AK45" s="281"/>
      <c r="AL45" s="91"/>
      <c r="AM45" s="83"/>
      <c r="AN45" s="108"/>
      <c r="AO45" s="83"/>
      <c r="AP45" s="91"/>
      <c r="AQ45" s="91"/>
    </row>
    <row r="46" spans="1:48" ht="30" customHeight="1" x14ac:dyDescent="0.3">
      <c r="A46" s="254" t="s">
        <v>457</v>
      </c>
      <c r="B46" s="254"/>
      <c r="C46" s="254"/>
      <c r="D46" s="254"/>
      <c r="E46" s="254"/>
      <c r="F46" s="254"/>
      <c r="G46" s="254"/>
      <c r="H46" s="254"/>
      <c r="O46" s="65"/>
      <c r="P46" s="65"/>
      <c r="Q46" s="65"/>
      <c r="R46" s="65"/>
      <c r="S46" s="65"/>
      <c r="T46" s="65"/>
      <c r="U46" s="65"/>
      <c r="V46" s="65"/>
      <c r="W46" s="65"/>
      <c r="X46" s="65"/>
      <c r="Y46" s="65"/>
      <c r="Z46" s="112"/>
      <c r="AA46" s="108"/>
      <c r="AB46" s="91"/>
      <c r="AC46" s="91"/>
      <c r="AD46" s="91"/>
      <c r="AE46" s="91"/>
      <c r="AF46" s="110"/>
      <c r="AG46" s="111"/>
      <c r="AH46" s="113"/>
      <c r="AI46" s="114"/>
      <c r="AJ46" s="114"/>
      <c r="AK46" s="114"/>
      <c r="AL46" s="91"/>
      <c r="AM46" s="83"/>
      <c r="AN46" s="108"/>
      <c r="AO46" s="83"/>
      <c r="AP46" s="91"/>
      <c r="AQ46" s="91"/>
    </row>
    <row r="47" spans="1:48" ht="61.2" x14ac:dyDescent="0.35">
      <c r="A47" s="91"/>
      <c r="B47" s="91"/>
      <c r="C47" s="115" t="s">
        <v>291</v>
      </c>
      <c r="D47" s="114" t="s">
        <v>292</v>
      </c>
      <c r="E47" s="115" t="s">
        <v>329</v>
      </c>
      <c r="F47" s="115" t="s">
        <v>321</v>
      </c>
      <c r="G47" s="116" t="s">
        <v>330</v>
      </c>
      <c r="H47" s="117" t="str">
        <f>IF($G$44="ja","Energiebedarf mit Abdeckung [kWh/a]","Energiebedarf ohne Abdeckung [kWh/a]")</f>
        <v>Energiebedarf ohne Abdeckung [kWh/a]</v>
      </c>
      <c r="M47" s="83"/>
      <c r="N47" s="245" t="str">
        <f>CONCATENATE("Monatsmitteltemperatur ",G23)</f>
        <v xml:space="preserve">Monatsmitteltemperatur </v>
      </c>
      <c r="O47" s="241" t="s">
        <v>268</v>
      </c>
      <c r="P47" s="121"/>
      <c r="Q47" s="242" t="s">
        <v>269</v>
      </c>
      <c r="R47" s="243"/>
      <c r="S47" s="119"/>
      <c r="T47" s="244" t="e">
        <f>IF(C18=Daten!$P$29,365-10,SUM(T48:T59))</f>
        <v>#N/A</v>
      </c>
      <c r="U47" s="121"/>
      <c r="V47" s="118" t="s">
        <v>339</v>
      </c>
      <c r="W47" s="119"/>
      <c r="X47" s="119" t="s">
        <v>451</v>
      </c>
      <c r="Y47" s="119" t="s">
        <v>452</v>
      </c>
      <c r="Z47" s="119"/>
      <c r="AA47" s="120"/>
      <c r="AB47" s="109" t="s">
        <v>344</v>
      </c>
      <c r="AC47" s="109" t="s">
        <v>343</v>
      </c>
      <c r="AD47" s="109" t="s">
        <v>345</v>
      </c>
      <c r="AE47" s="109" t="s">
        <v>342</v>
      </c>
      <c r="AF47" s="246" t="str">
        <f>IF(C18=Daten!P29,"Verdunstung Hallenbad QV
[W/m2]","Verdunstung aussenliegendes Schwimmbad QV
[W/m2]")</f>
        <v>Verdunstung aussenliegendes Schwimmbad QV
[W/m2]</v>
      </c>
      <c r="AG47" s="111" t="s">
        <v>337</v>
      </c>
      <c r="AH47" s="120" t="s">
        <v>453</v>
      </c>
      <c r="AI47" s="109" t="s">
        <v>454</v>
      </c>
      <c r="AJ47" s="109" t="s">
        <v>341</v>
      </c>
      <c r="AK47" s="109" t="s">
        <v>346</v>
      </c>
      <c r="AL47" s="109" t="s">
        <v>455</v>
      </c>
      <c r="AM47" s="111" t="s">
        <v>349</v>
      </c>
      <c r="AN47" s="156" t="str">
        <f>IF(C18=Daten!P29,"Verdunstung Hallenbad QV
[W/m2]","Verdunstung aussenliegendes Schwimmbad QV
[W/m2]")</f>
        <v>Verdunstung aussenliegendes Schwimmbad QV
[W/m2]</v>
      </c>
      <c r="AO47" s="111" t="s">
        <v>349</v>
      </c>
      <c r="AP47" s="109"/>
      <c r="AQ47" s="109"/>
      <c r="AU47" s="121"/>
      <c r="AV47" s="121"/>
    </row>
    <row r="48" spans="1:48" x14ac:dyDescent="0.3">
      <c r="A48" s="260" t="str">
        <f>IF(ISNA(IF(S48=0,"",M48)),"",IF(S48=0,"",M48))</f>
        <v/>
      </c>
      <c r="B48" s="260"/>
      <c r="C48" s="122">
        <f>IF(ISNA(AF48*S48),0,AF48*S48)</f>
        <v>0</v>
      </c>
      <c r="D48" s="123">
        <f>IF(ISNA(IF($C$18=Daten!$P$29,4.07*($B$44-$D$44),VLOOKUP($G$22,Daten!$P$43:$Q$45,2,FALSE)*($B$44-N48))*S48),0,IF($C$18=Daten!$P$29,4.07*($B$44-$D$44),VLOOKUP($G$22,Daten!$P$43:$Q$45,2,FALSE)*($B$44-N48))*S48)</f>
        <v>0</v>
      </c>
      <c r="E48" s="123">
        <f>IF(ISNA(IF($C$18=Daten!$P$29,IF($D$44&gt;$B$44,0,5.56*($B$44-$D$44)),5.56*($B$44-N48))*S48),0,IF($C$18=Daten!$P$29,IF($D$44&gt;$B$44,0,5.56*($B$44-$D$44)),5.56*($B$44-N48))*S48)</f>
        <v>0</v>
      </c>
      <c r="F48" s="123">
        <f>IF(ISNA((((($D$21+$D$22)*2*$D$23*'U-Wert'!$E$27*Daten!$Y$22)*($B$44-IF($C$24=Daten!$P$52,$D$24,N48)))/($C$21*$C$22))*S48+(((($D$21*$D$22)*'U-Wert'!$E$46*Daten!$Y$29)*($B$44-IF($C$25=Daten!$P$52,$D$25,N48)))/($C$21*$C$22))*S48),0,(((($D$21+$D$22)*2*$D$23*'U-Wert'!$E$27*Daten!$Y$22)*($B$44-IF($C$24=Daten!$P$52,$D$24,N48)))/($C$21*$C$22))*S48+(((($D$21*$D$22)*'U-Wert'!$E$46*Daten!$Y$29)*($B$44-IF($C$25=Daten!$P$52,$D$25,N48)))/($C$21*$C$22))*S48)</f>
        <v>0</v>
      </c>
      <c r="G48" s="81">
        <f>IF(ISNA(IF($C$18=Daten!$P$29,0,X48)*S48),0,IF($C$18=Daten!$P$29,0,X48)*S48)</f>
        <v>0</v>
      </c>
      <c r="H48" s="124">
        <f>IF(IF($G$44=Daten!$P$32,(SUM(C48:E48)*0.15*(24-$H$44)*O48+SUM(C48:E48)*1*$H$44*O48+(F48-G48*0.7)*24*O48)/1000*$A$44,(SUM(C48:E48)*24*O48+(F48-G48*0.7)*24*O48)/1000*$A$44)&lt;0,0,IF($G$44=Daten!$P$32,(SUM(C48:E48)*0.15*(24-$H$44)*O48+SUM(C48:E48)*1*$H$44*O48+(F48-G48*0.7)*24*O48)/1000*$A$44,(SUM(C48:E48)*24*O48+(F48-G48*0.7)*24*O48)/1000*$A$44))</f>
        <v>0</v>
      </c>
      <c r="J48" s="125"/>
      <c r="K48" s="126"/>
      <c r="L48" s="126"/>
      <c r="M48" s="127" t="s">
        <v>77</v>
      </c>
      <c r="N48" s="128" t="e">
        <f>VLOOKUP(Schwimmbadbilanz!$G$23,Daten!$A$5:$N$46,2,FALSE)</f>
        <v>#N/A</v>
      </c>
      <c r="O48" s="83">
        <v>31</v>
      </c>
      <c r="P48" s="129" t="s">
        <v>77</v>
      </c>
      <c r="Q48" s="108">
        <v>1</v>
      </c>
      <c r="R48" s="91" t="e">
        <f>VLOOKUP(F21,$M$48:$Q$59,5,FALSE)</f>
        <v>#N/A</v>
      </c>
      <c r="S48" s="91" t="e">
        <f>IF($C$18=Daten!$P$29,1,IF(AND(Q48&gt;=$R$48,Q48&lt;=$R$49),1,0))</f>
        <v>#N/A</v>
      </c>
      <c r="T48" s="83" t="e">
        <f t="shared" ref="T48:T59" si="2">O48*S48</f>
        <v>#N/A</v>
      </c>
      <c r="U48" s="129" t="s">
        <v>77</v>
      </c>
      <c r="V48" s="82" t="e">
        <f>VLOOKUP($G$23,Daten!$A$92:$M$132,W48,FALSE)/3.6</f>
        <v>#N/A</v>
      </c>
      <c r="W48" s="91">
        <v>2</v>
      </c>
      <c r="X48" s="123" t="e">
        <f>V48/24/O48*1000</f>
        <v>#N/A</v>
      </c>
      <c r="Y48" s="91">
        <v>0.7</v>
      </c>
      <c r="Z48" s="123" t="e">
        <f>X48*$A$44*24*O48/1000*Y48</f>
        <v>#N/A</v>
      </c>
      <c r="AA48" s="129" t="s">
        <v>77</v>
      </c>
      <c r="AB48" s="130">
        <f>622*(100*(6.1078*EXP(17.08085*$B$44/(234.175+$B$44)))/100)/(1013-(100*(6.1078*EXP(17.08085*$B$44/(234.175+$B$44)))/100))/1000</f>
        <v>3.7730470054291813E-3</v>
      </c>
      <c r="AC48" s="130" t="e">
        <f>IF($C$18=Daten!$P$29,622*($D$26*(6.1078*EXP(17.08085*$D$44/(234.175+$D$44)))/100)/(1013-($D$26*(6.1078*EXP(17.08085*$D$44/(234.175+$D$44)))/100))/1000,622*(AE48*(6.1078*EXP(17.08085*N48/(234.175+N48)))/100)/(1013-(AE48*(6.1078*EXP(17.08085*N48/(234.175+N48)))/100))/1000)</f>
        <v>#N/A</v>
      </c>
      <c r="AD48" s="131">
        <f>(50.09-0.9298*((273.01+$B$44)/1000)-65.19*((273.01+$B$44)/1000)^2)/18.02*1000</f>
        <v>2495.9630326349061</v>
      </c>
      <c r="AE48" s="131" t="e">
        <f t="shared" ref="AE48:AE59" si="3">1013*AG48/(EXP(17.08085*N48/(234.175+N48))*(37.990516+0.061078*AG48))</f>
        <v>#N/A</v>
      </c>
      <c r="AF48" s="132" t="e">
        <f>(25+19*IF($C$18=Daten!$P$29,Daten!$R$46,VLOOKUP($G$22,Daten!$P$43:$R$45,3,FALSE)))*((($AC$62+AB48*$AC$63)*$B$44+AB48*AD48)-(($AC$62+AC48*$AC$63)*IF($C$18=Daten!$P$29,$D$44,N48)+AC48*AD48))/3.6</f>
        <v>#N/A</v>
      </c>
      <c r="AG48" s="133" t="e">
        <f>VLOOKUP($G$23,Daten!$A$49:$M$89,W48,FALSE)</f>
        <v>#N/A</v>
      </c>
      <c r="AH48" s="82" t="e">
        <f t="shared" ref="AH48:AH59" si="4">IF(N48&lt;0,610.5*EXP(21.875*N48/(265.5+N48)),610.78*EXP(17.08085*N48/(234.175+N48)))</f>
        <v>#N/A</v>
      </c>
      <c r="AI48" s="134" t="e">
        <f t="shared" ref="AI48:AI59" si="5">($AC$62+AG48/1000*$AC$63)*N48+AG48/1000*$AC$64</f>
        <v>#N/A</v>
      </c>
      <c r="AJ48" s="135" t="e">
        <f>$AK$64*$AK$63*0.62198/($AK$65-$AK$64*AH48)*1000</f>
        <v>#N/A</v>
      </c>
      <c r="AK48" s="135" t="e">
        <f t="shared" ref="AK48:AK59" si="6">($AC$62+AJ48/1000*$AC$63)*$B$44+AJ48/1000*$AC$64</f>
        <v>#N/A</v>
      </c>
      <c r="AL48" s="136" t="e">
        <f>((25+19*VLOOKUP($G$22,Daten!$P$43:$R$45,3,FALSE))*(Schwimmbadbilanz!AK48-Schwimmbadbilanz!AI48))/3.6</f>
        <v>#N/A</v>
      </c>
      <c r="AM48" s="137" t="e">
        <f>AF48-AL48</f>
        <v>#N/A</v>
      </c>
      <c r="AN48" s="138" t="e">
        <f>IF($C$18=Daten!$P$29,(25+19*Daten!$R$46)*(VLOOKUP($B$44,Daten!$P$5:$R$19,2,FALSE)-VLOOKUP(ROUND($D$44,0),Daten!$S$5:$U$45,2,FALSE))*VLOOKUP($B$44,Daten!$P$5:$R$19,3,FALSE),(25+19*VLOOKUP($G$22,Daten!$P$43:$R$46,3,FALSE))*(VLOOKUP($B$44,Daten!$P$5:$R$19,2,FALSE)-VLOOKUP(ROUND(N48,0),Daten!$S$5:$U$45,3,FALSE))*VLOOKUP($B$44,Daten!$P$5:$R$19,3,FALSE))</f>
        <v>#N/A</v>
      </c>
      <c r="AO48" s="139" t="e">
        <f>AF48-AN48</f>
        <v>#N/A</v>
      </c>
      <c r="AP48" s="109"/>
      <c r="AQ48" s="109"/>
      <c r="AV48" s="140"/>
    </row>
    <row r="49" spans="1:52" x14ac:dyDescent="0.3">
      <c r="A49" s="260" t="str">
        <f t="shared" ref="A49:A59" si="7">IF(ISNA(IF(S49=0,"",M49)),"",IF(S49=0,"",M49))</f>
        <v/>
      </c>
      <c r="B49" s="260"/>
      <c r="C49" s="122">
        <f>IF(ISNA(AF49*S49),0,AF49*S49)</f>
        <v>0</v>
      </c>
      <c r="D49" s="123">
        <f>IF(ISNA(IF($C$18=Daten!$P$29,4.07*($B$44-$D$44),VLOOKUP($G$22,Daten!$P$43:$Q$45,2,FALSE)*($B$44-N49))*S49),0,IF($C$18=Daten!$P$29,4.07*($B$44-$D$44),VLOOKUP($G$22,Daten!$P$43:$Q$45,2,FALSE)*($B$44-N49))*S49)</f>
        <v>0</v>
      </c>
      <c r="E49" s="123">
        <f>IF(ISNA(IF($C$18=Daten!$P$29,IF($D$44&gt;$B$44,0,5.56*($B$44-$D$44)),5.56*($B$44-N49))*S49),0,IF($C$18=Daten!$P$29,IF($D$44&gt;$B$44,0,5.56*($B$44-$D$44)),5.56*($B$44-N49))*S49)</f>
        <v>0</v>
      </c>
      <c r="F49" s="123">
        <f>IF(ISNA((((($D$21+$D$22)*2*$D$23*'U-Wert'!$E$27*Daten!$Y$22)*($B$44-IF($C$24=Daten!$P$52,$D$24,N49)))/($C$21*$C$22))*S49+(((($D$21*$D$22)*'U-Wert'!$E$46*Daten!$Y$29)*($B$44-IF($C$25=Daten!$P$52,$D$25,N49)))/($C$21*$C$22))*S49),0,(((($D$21+$D$22)*2*$D$23*'U-Wert'!$E$27*Daten!$Y$22)*($B$44-IF($C$24=Daten!$P$52,$D$24,N49)))/($C$21*$C$22))*S49+(((($D$21*$D$22)*'U-Wert'!$E$46*Daten!$Y$29)*($B$44-IF($C$25=Daten!$P$52,$D$25,N49)))/($C$21*$C$22))*S49)</f>
        <v>0</v>
      </c>
      <c r="G49" s="81">
        <f>IF(ISNA(IF($C$18=Daten!$P$29,0,X49)*S49),0,IF($C$18=Daten!$P$29,0,X49)*S49)</f>
        <v>0</v>
      </c>
      <c r="H49" s="124">
        <f>IF(IF($G$44=Daten!$P$32,(SUM(C49:E49)*0.15*(24-$H$44)*O49+SUM(C49:E49)*1*$H$44*O49+(F49-G49*0.7)*24*O49)/1000*$A$44,(SUM(C49:E49)*24*O49+(F49-G49*0.7)*24*O49)/1000*$A$44)&lt;0,0,IF($G$44=Daten!$P$32,(SUM(C49:E49)*0.15*(24-$H$44)*O49+SUM(C49:E49)*1*$H$44*O49+(F49-G49*0.7)*24*O49)/1000*$A$44,(SUM(C49:E49)*24*O49+(F49-G49*0.7)*24*O49)/1000*$A$44))</f>
        <v>0</v>
      </c>
      <c r="J49" s="125"/>
      <c r="K49" s="126"/>
      <c r="L49" s="126"/>
      <c r="M49" s="127" t="s">
        <v>78</v>
      </c>
      <c r="N49" s="128" t="e">
        <f>VLOOKUP(Schwimmbadbilanz!$G$23,Daten!$A$5:$N$46,3,FALSE)</f>
        <v>#N/A</v>
      </c>
      <c r="O49" s="83">
        <v>28</v>
      </c>
      <c r="P49" s="129" t="s">
        <v>78</v>
      </c>
      <c r="Q49" s="108">
        <v>2</v>
      </c>
      <c r="R49" s="91" t="e">
        <f>VLOOKUP(H21,$M$48:$Q$59,5,FALSE)</f>
        <v>#N/A</v>
      </c>
      <c r="S49" s="91" t="e">
        <f>IF($C$18=Daten!$P$29,1,IF(AND(Q49&gt;=$R$48,Q49&lt;=$R$49),1,0))</f>
        <v>#N/A</v>
      </c>
      <c r="T49" s="83" t="e">
        <f t="shared" si="2"/>
        <v>#N/A</v>
      </c>
      <c r="U49" s="129" t="s">
        <v>78</v>
      </c>
      <c r="V49" s="82" t="e">
        <f>VLOOKUP($G$23,Daten!$A$92:$M$132,W49,FALSE)/3.6</f>
        <v>#N/A</v>
      </c>
      <c r="W49" s="91">
        <v>3</v>
      </c>
      <c r="X49" s="123" t="e">
        <f t="shared" ref="X49:X59" si="8">V49/24/O49*1000</f>
        <v>#N/A</v>
      </c>
      <c r="Y49" s="91">
        <v>0.7</v>
      </c>
      <c r="Z49" s="123" t="e">
        <f t="shared" ref="Z49:Z59" si="9">X49*$A$44*24*O49/1000*Y49</f>
        <v>#N/A</v>
      </c>
      <c r="AA49" s="129" t="s">
        <v>78</v>
      </c>
      <c r="AB49" s="130">
        <f t="shared" ref="AB49:AB59" si="10">622*(100*(6.1078*EXP(17.08085*$B$44/(234.175+$B$44)))/100)/(1013-(100*(6.1078*EXP(17.08085*$B$44/(234.175+$B$44)))/100))/1000</f>
        <v>3.7730470054291813E-3</v>
      </c>
      <c r="AC49" s="130" t="e">
        <f>IF($C$18=Daten!$P$29,622*($D$26*(6.1078*EXP(17.08085*$D$44/(234.175+$D$44)))/100)/(1013-($D$26*(6.1078*EXP(17.08085*$D$44/(234.175+$D$44)))/100))/1000,622*(AE49*(6.1078*EXP(17.08085*N49/(234.175+N49)))/100)/(1013-(AE49*(6.1078*EXP(17.08085*N49/(234.175+N49)))/100))/1000)</f>
        <v>#N/A</v>
      </c>
      <c r="AD49" s="131">
        <f t="shared" ref="AD49:AD59" si="11">(50.09-0.9298*((273.01+$B$44)/1000)-65.19*((273.01+$B$44)/1000)^2)/18.02*1000</f>
        <v>2495.9630326349061</v>
      </c>
      <c r="AE49" s="131" t="e">
        <f t="shared" si="3"/>
        <v>#N/A</v>
      </c>
      <c r="AF49" s="132" t="e">
        <f>(25+19*IF($C$18=Daten!$P$29,Daten!$R$46,VLOOKUP($G$22,Daten!$P$43:$R$45,3,FALSE)))*((($AC$62+AB49*$AC$63)*$B$44+AB49*AD49)-(($AC$62+AC49*$AC$63)*IF($C$18=Daten!$P$29,$D$44,N49)+AC49*AD49))/3.6</f>
        <v>#N/A</v>
      </c>
      <c r="AG49" s="133" t="e">
        <f>VLOOKUP($G$23,Daten!$A$49:$M$89,W49,FALSE)</f>
        <v>#N/A</v>
      </c>
      <c r="AH49" s="82" t="e">
        <f t="shared" si="4"/>
        <v>#N/A</v>
      </c>
      <c r="AI49" s="134" t="e">
        <f t="shared" si="5"/>
        <v>#N/A</v>
      </c>
      <c r="AJ49" s="135" t="e">
        <f t="shared" ref="AJ49:AJ59" si="12">$AK$64*$AK$63*0.62198/($AK$65-$AK$64*AH49)*1000</f>
        <v>#N/A</v>
      </c>
      <c r="AK49" s="135" t="e">
        <f t="shared" si="6"/>
        <v>#N/A</v>
      </c>
      <c r="AL49" s="136" t="e">
        <f>((25+19*VLOOKUP($G$22,Daten!$P$43:$R$45,3,FALSE))*(Schwimmbadbilanz!AK49-Schwimmbadbilanz!AI49))/3.6</f>
        <v>#N/A</v>
      </c>
      <c r="AM49" s="137" t="e">
        <f t="shared" ref="AM49:AM59" si="13">AF49-AL49</f>
        <v>#N/A</v>
      </c>
      <c r="AN49" s="138" t="e">
        <f>IF($C$18=Daten!$P$29,(25+19*Daten!$R$46)*(VLOOKUP($B$44,Daten!$P$5:$R$19,2,FALSE)-VLOOKUP(ROUND($D$44,0),Daten!$S$5:$U$45,2,FALSE))*VLOOKUP($B$44,Daten!$P$5:$R$19,3,FALSE),(25+19*VLOOKUP($G$22,Daten!$P$43:$R$46,3,FALSE))*(VLOOKUP($B$44,Daten!$P$5:$R$19,2,FALSE)-VLOOKUP(ROUND(N49,0),Daten!$S$5:$U$45,3,FALSE))*VLOOKUP($B$44,Daten!$P$5:$R$19,3,FALSE))</f>
        <v>#N/A</v>
      </c>
      <c r="AO49" s="139" t="e">
        <f t="shared" ref="AO49:AO59" si="14">AF49-AN49</f>
        <v>#N/A</v>
      </c>
      <c r="AP49" s="109"/>
      <c r="AQ49" s="109"/>
    </row>
    <row r="50" spans="1:52" x14ac:dyDescent="0.3">
      <c r="A50" s="260" t="str">
        <f t="shared" si="7"/>
        <v/>
      </c>
      <c r="B50" s="260"/>
      <c r="C50" s="122">
        <f t="shared" ref="C50:C59" si="15">IF(ISNA(AF50*S50),0,AF50*S50)</f>
        <v>0</v>
      </c>
      <c r="D50" s="123">
        <f>IF(ISNA(IF($C$18=Daten!$P$29,4.07*($B$44-$D$44),VLOOKUP($G$22,Daten!$P$43:$Q$45,2,FALSE)*($B$44-N50))*S50),0,IF($C$18=Daten!$P$29,4.07*($B$44-$D$44),VLOOKUP($G$22,Daten!$P$43:$Q$45,2,FALSE)*($B$44-N50))*S50)</f>
        <v>0</v>
      </c>
      <c r="E50" s="123">
        <f>IF(ISNA(IF($C$18=Daten!$P$29,IF($D$44&gt;$B$44,0,5.56*($B$44-$D$44)),5.56*($B$44-N50))*S50),0,IF($C$18=Daten!$P$29,IF($D$44&gt;$B$44,0,5.56*($B$44-$D$44)),5.56*($B$44-N50))*S50)</f>
        <v>0</v>
      </c>
      <c r="F50" s="123">
        <f>IF(ISNA((((($D$21+$D$22)*2*$D$23*'U-Wert'!$E$27*Daten!$Y$22)*($B$44-IF($C$24=Daten!$P$52,$D$24,N50)))/($C$21*$C$22))*S50+(((($D$21*$D$22)*'U-Wert'!$E$46*Daten!$Y$29)*($B$44-IF($C$25=Daten!$P$52,$D$25,N50)))/($C$21*$C$22))*S50),0,(((($D$21+$D$22)*2*$D$23*'U-Wert'!$E$27*Daten!$Y$22)*($B$44-IF($C$24=Daten!$P$52,$D$24,N50)))/($C$21*$C$22))*S50+(((($D$21*$D$22)*'U-Wert'!$E$46*Daten!$Y$29)*($B$44-IF($C$25=Daten!$P$52,$D$25,N50)))/($C$21*$C$22))*S50)</f>
        <v>0</v>
      </c>
      <c r="G50" s="81">
        <f>IF(ISNA(IF($C$18=Daten!$P$29,0,X50)*S50),0,IF($C$18=Daten!$P$29,0,X50)*S50)</f>
        <v>0</v>
      </c>
      <c r="H50" s="124">
        <f>IF(IF($G$44=Daten!$P$32,(SUM(C50:E50)*0.15*(24-$H$44)*O50+SUM(C50:E50)*1*$H$44*O50+(F50-G50*0.7)*24*O50)/1000*$A$44,(SUM(C50:E50)*24*O50+(F50-G50*0.7)*24*O50)/1000*$A$44)&lt;0,0,IF($G$44=Daten!$P$32,(SUM(C50:E50)*0.15*(24-$H$44)*O50+SUM(C50:E50)*1*$H$44*O50+(F50-G50*0.7)*24*O50)/1000*$A$44,(SUM(C50:E50)*24*O50+(F50-G50*0.7)*24*O50)/1000*$A$44))</f>
        <v>0</v>
      </c>
      <c r="J50" s="125"/>
      <c r="K50" s="126"/>
      <c r="L50" s="126"/>
      <c r="M50" s="127" t="s">
        <v>79</v>
      </c>
      <c r="N50" s="128" t="e">
        <f>VLOOKUP(Schwimmbadbilanz!$G$23,Daten!$A$5:$N$46,4,FALSE)</f>
        <v>#N/A</v>
      </c>
      <c r="O50" s="83">
        <v>31</v>
      </c>
      <c r="P50" s="129" t="s">
        <v>79</v>
      </c>
      <c r="Q50" s="108">
        <v>3</v>
      </c>
      <c r="R50" s="91"/>
      <c r="S50" s="91" t="e">
        <f>IF($C$18=Daten!$P$29,1,IF(AND(Q50&gt;=$R$48,Q50&lt;=$R$49),1,0))</f>
        <v>#N/A</v>
      </c>
      <c r="T50" s="83" t="e">
        <f t="shared" si="2"/>
        <v>#N/A</v>
      </c>
      <c r="U50" s="129" t="s">
        <v>79</v>
      </c>
      <c r="V50" s="82" t="e">
        <f>VLOOKUP($G$23,Daten!$A$92:$M$132,W50,FALSE)/3.6</f>
        <v>#N/A</v>
      </c>
      <c r="W50" s="91">
        <v>4</v>
      </c>
      <c r="X50" s="123" t="e">
        <f t="shared" si="8"/>
        <v>#N/A</v>
      </c>
      <c r="Y50" s="91">
        <v>0.7</v>
      </c>
      <c r="Z50" s="123" t="e">
        <f t="shared" si="9"/>
        <v>#N/A</v>
      </c>
      <c r="AA50" s="129" t="s">
        <v>79</v>
      </c>
      <c r="AB50" s="130">
        <f t="shared" si="10"/>
        <v>3.7730470054291813E-3</v>
      </c>
      <c r="AC50" s="130" t="e">
        <f>IF($C$18=Daten!$P$29,622*($D$26*(6.1078*EXP(17.08085*$D$44/(234.175+$D$44)))/100)/(1013-($D$26*(6.1078*EXP(17.08085*$D$44/(234.175+$D$44)))/100))/1000,622*(AE50*(6.1078*EXP(17.08085*N50/(234.175+N50)))/100)/(1013-(AE50*(6.1078*EXP(17.08085*N50/(234.175+N50)))/100))/1000)</f>
        <v>#N/A</v>
      </c>
      <c r="AD50" s="131">
        <f t="shared" si="11"/>
        <v>2495.9630326349061</v>
      </c>
      <c r="AE50" s="131" t="e">
        <f t="shared" si="3"/>
        <v>#N/A</v>
      </c>
      <c r="AF50" s="132" t="e">
        <f>(25+19*IF($C$18=Daten!$P$29,Daten!$R$46,VLOOKUP($G$22,Daten!$P$43:$R$45,3,FALSE)))*((($AC$62+AB50*$AC$63)*$B$44+AB50*AD50)-(($AC$62+AC50*$AC$63)*IF($C$18=Daten!$P$29,$D$44,N50)+AC50*AD50))/3.6</f>
        <v>#N/A</v>
      </c>
      <c r="AG50" s="133" t="e">
        <f>VLOOKUP($G$23,Daten!$A$49:$M$89,W50,FALSE)</f>
        <v>#N/A</v>
      </c>
      <c r="AH50" s="82" t="e">
        <f t="shared" si="4"/>
        <v>#N/A</v>
      </c>
      <c r="AI50" s="134" t="e">
        <f t="shared" si="5"/>
        <v>#N/A</v>
      </c>
      <c r="AJ50" s="135" t="e">
        <f t="shared" si="12"/>
        <v>#N/A</v>
      </c>
      <c r="AK50" s="135" t="e">
        <f t="shared" si="6"/>
        <v>#N/A</v>
      </c>
      <c r="AL50" s="136" t="e">
        <f>((25+19*VLOOKUP($G$22,Daten!$P$43:$R$45,3,FALSE))*(Schwimmbadbilanz!AK50-Schwimmbadbilanz!AI50))/3.6</f>
        <v>#N/A</v>
      </c>
      <c r="AM50" s="137" t="e">
        <f t="shared" si="13"/>
        <v>#N/A</v>
      </c>
      <c r="AN50" s="138" t="e">
        <f>IF($C$18=Daten!$P$29,(25+19*Daten!$R$46)*(VLOOKUP($B$44,Daten!$P$5:$R$19,2,FALSE)-VLOOKUP(ROUND($D$44,0),Daten!$S$5:$U$45,2,FALSE))*VLOOKUP($B$44,Daten!$P$5:$R$19,3,FALSE),(25+19*VLOOKUP($G$22,Daten!$P$43:$R$46,3,FALSE))*(VLOOKUP($B$44,Daten!$P$5:$R$19,2,FALSE)-VLOOKUP(ROUND(N50,0),Daten!$S$5:$U$45,3,FALSE))*VLOOKUP($B$44,Daten!$P$5:$R$19,3,FALSE))</f>
        <v>#N/A</v>
      </c>
      <c r="AO50" s="139" t="e">
        <f t="shared" si="14"/>
        <v>#N/A</v>
      </c>
      <c r="AP50" s="109"/>
      <c r="AQ50" s="109"/>
      <c r="AX50" s="140"/>
    </row>
    <row r="51" spans="1:52" x14ac:dyDescent="0.3">
      <c r="A51" s="260" t="str">
        <f t="shared" si="7"/>
        <v/>
      </c>
      <c r="B51" s="260"/>
      <c r="C51" s="122">
        <f t="shared" si="15"/>
        <v>0</v>
      </c>
      <c r="D51" s="123">
        <f>IF(ISNA(IF($C$18=Daten!$P$29,4.07*($B$44-$D$44),VLOOKUP($G$22,Daten!$P$43:$Q$45,2,FALSE)*($B$44-N51))*S51),0,IF($C$18=Daten!$P$29,4.07*($B$44-$D$44),VLOOKUP($G$22,Daten!$P$43:$Q$45,2,FALSE)*($B$44-N51))*S51)</f>
        <v>0</v>
      </c>
      <c r="E51" s="123">
        <f>IF(ISNA(IF($C$18=Daten!$P$29,IF($D$44&gt;$B$44,0,5.56*($B$44-$D$44)),5.56*($B$44-N51))*S51),0,IF($C$18=Daten!$P$29,IF($D$44&gt;$B$44,0,5.56*($B$44-$D$44)),5.56*($B$44-N51))*S51)</f>
        <v>0</v>
      </c>
      <c r="F51" s="123">
        <f>IF(ISNA((((($D$21+$D$22)*2*$D$23*'U-Wert'!$E$27*Daten!$Y$22)*($B$44-IF($C$24=Daten!$P$52,$D$24,N51)))/($C$21*$C$22))*S51+(((($D$21*$D$22)*'U-Wert'!$E$46*Daten!$Y$29)*($B$44-IF($C$25=Daten!$P$52,$D$25,N51)))/($C$21*$C$22))*S51),0,(((($D$21+$D$22)*2*$D$23*'U-Wert'!$E$27*Daten!$Y$22)*($B$44-IF($C$24=Daten!$P$52,$D$24,N51)))/($C$21*$C$22))*S51+(((($D$21*$D$22)*'U-Wert'!$E$46*Daten!$Y$29)*($B$44-IF($C$25=Daten!$P$52,$D$25,N51)))/($C$21*$C$22))*S51)</f>
        <v>0</v>
      </c>
      <c r="G51" s="81">
        <f>IF(ISNA(IF($C$18=Daten!$P$29,0,X51)*S51),0,IF($C$18=Daten!$P$29,0,X51)*S51)</f>
        <v>0</v>
      </c>
      <c r="H51" s="124">
        <f>IF(IF($G$44=Daten!$P$32,(SUM(C51:E51)*0.15*(24-$H$44)*O51+SUM(C51:E51)*1*$H$44*O51+(F51-G51*0.7)*24*O51)/1000*$A$44,(SUM(C51:E51)*24*O51+(F51-G51*0.7)*24*O51)/1000*$A$44)&lt;0,0,IF($G$44=Daten!$P$32,(SUM(C51:E51)*0.15*(24-$H$44)*O51+SUM(C51:E51)*1*$H$44*O51+(F51-G51*0.7)*24*O51)/1000*$A$44,(SUM(C51:E51)*24*O51+(F51-G51*0.7)*24*O51)/1000*$A$44))</f>
        <v>0</v>
      </c>
      <c r="J51" s="125"/>
      <c r="K51" s="126"/>
      <c r="L51" s="126"/>
      <c r="M51" s="127" t="s">
        <v>15</v>
      </c>
      <c r="N51" s="128" t="e">
        <f>VLOOKUP(Schwimmbadbilanz!$G$23,Daten!$A$5:$N$46,5,FALSE)</f>
        <v>#N/A</v>
      </c>
      <c r="O51" s="83">
        <v>30</v>
      </c>
      <c r="P51" s="129" t="s">
        <v>15</v>
      </c>
      <c r="Q51" s="108">
        <v>4</v>
      </c>
      <c r="R51" s="91"/>
      <c r="S51" s="91" t="e">
        <f>IF($C$18=Daten!$P$29,1,IF(AND(Q51&gt;=$R$48,Q51&lt;=$R$49),1,0))</f>
        <v>#N/A</v>
      </c>
      <c r="T51" s="83" t="e">
        <f t="shared" si="2"/>
        <v>#N/A</v>
      </c>
      <c r="U51" s="129" t="s">
        <v>15</v>
      </c>
      <c r="V51" s="82" t="e">
        <f>VLOOKUP($G$23,Daten!$A$92:$M$132,W51,FALSE)/3.6</f>
        <v>#N/A</v>
      </c>
      <c r="W51" s="91">
        <v>5</v>
      </c>
      <c r="X51" s="123" t="e">
        <f t="shared" si="8"/>
        <v>#N/A</v>
      </c>
      <c r="Y51" s="91">
        <v>0.7</v>
      </c>
      <c r="Z51" s="123" t="e">
        <f t="shared" si="9"/>
        <v>#N/A</v>
      </c>
      <c r="AA51" s="129" t="s">
        <v>15</v>
      </c>
      <c r="AB51" s="130">
        <f t="shared" si="10"/>
        <v>3.7730470054291813E-3</v>
      </c>
      <c r="AC51" s="130" t="e">
        <f>IF($C$18=Daten!$P$29,622*($D$26*(6.1078*EXP(17.08085*$D$44/(234.175+$D$44)))/100)/(1013-($D$26*(6.1078*EXP(17.08085*$D$44/(234.175+$D$44)))/100))/1000,622*(AE51*(6.1078*EXP(17.08085*N51/(234.175+N51)))/100)/(1013-(AE51*(6.1078*EXP(17.08085*N51/(234.175+N51)))/100))/1000)</f>
        <v>#N/A</v>
      </c>
      <c r="AD51" s="131">
        <f t="shared" si="11"/>
        <v>2495.9630326349061</v>
      </c>
      <c r="AE51" s="131" t="e">
        <f t="shared" si="3"/>
        <v>#N/A</v>
      </c>
      <c r="AF51" s="132" t="e">
        <f>(25+19*IF($C$18=Daten!$P$29,Daten!$R$46,VLOOKUP($G$22,Daten!$P$43:$R$45,3,FALSE)))*((($AC$62+AB51*$AC$63)*$B$44+AB51*AD51)-(($AC$62+AC51*$AC$63)*IF($C$18=Daten!$P$29,$D$44,N51)+AC51*AD51))/3.6</f>
        <v>#N/A</v>
      </c>
      <c r="AG51" s="133" t="e">
        <f>VLOOKUP($G$23,Daten!$A$49:$M$89,W51,FALSE)</f>
        <v>#N/A</v>
      </c>
      <c r="AH51" s="82" t="e">
        <f t="shared" si="4"/>
        <v>#N/A</v>
      </c>
      <c r="AI51" s="134" t="e">
        <f t="shared" si="5"/>
        <v>#N/A</v>
      </c>
      <c r="AJ51" s="135" t="e">
        <f t="shared" si="12"/>
        <v>#N/A</v>
      </c>
      <c r="AK51" s="135" t="e">
        <f t="shared" si="6"/>
        <v>#N/A</v>
      </c>
      <c r="AL51" s="136" t="e">
        <f>((25+19*VLOOKUP($G$22,Daten!$P$43:$R$45,3,FALSE))*(Schwimmbadbilanz!AK51-Schwimmbadbilanz!AI51))/3.6</f>
        <v>#N/A</v>
      </c>
      <c r="AM51" s="137" t="e">
        <f t="shared" si="13"/>
        <v>#N/A</v>
      </c>
      <c r="AN51" s="138" t="e">
        <f>IF($C$18=Daten!$P$29,(25+19*Daten!$R$46)*(VLOOKUP($B$44,Daten!$P$5:$R$19,2,FALSE)-VLOOKUP(ROUND($D$44,0),Daten!$S$5:$U$45,2,FALSE))*VLOOKUP($B$44,Daten!$P$5:$R$19,3,FALSE),(25+19*VLOOKUP($G$22,Daten!$P$43:$R$46,3,FALSE))*(VLOOKUP($B$44,Daten!$P$5:$R$19,2,FALSE)-VLOOKUP(ROUND(N51,0),Daten!$S$5:$U$45,3,FALSE))*VLOOKUP($B$44,Daten!$P$5:$R$19,3,FALSE))</f>
        <v>#N/A</v>
      </c>
      <c r="AO51" s="139" t="e">
        <f t="shared" si="14"/>
        <v>#N/A</v>
      </c>
      <c r="AP51" s="109"/>
      <c r="AQ51" s="109"/>
      <c r="AX51" s="141"/>
    </row>
    <row r="52" spans="1:52" x14ac:dyDescent="0.3">
      <c r="A52" s="260" t="str">
        <f t="shared" si="7"/>
        <v/>
      </c>
      <c r="B52" s="260"/>
      <c r="C52" s="122">
        <f t="shared" si="15"/>
        <v>0</v>
      </c>
      <c r="D52" s="123">
        <f>IF(ISNA(IF($C$18=Daten!$P$29,4.07*($B$44-$D$44),VLOOKUP($G$22,Daten!$P$43:$Q$45,2,FALSE)*($B$44-N52))*S52),0,IF($C$18=Daten!$P$29,4.07*($B$44-$D$44),VLOOKUP($G$22,Daten!$P$43:$Q$45,2,FALSE)*($B$44-N52))*S52)</f>
        <v>0</v>
      </c>
      <c r="E52" s="123">
        <f>IF(ISNA(IF($C$18=Daten!$P$29,IF($D$44&gt;$B$44,0,5.56*($B$44-$D$44)),5.56*($B$44-N52))*S52),0,IF($C$18=Daten!$P$29,IF($D$44&gt;$B$44,0,5.56*($B$44-$D$44)),5.56*($B$44-N52))*S52)</f>
        <v>0</v>
      </c>
      <c r="F52" s="123">
        <f>IF(ISNA((((($D$21+$D$22)*2*$D$23*'U-Wert'!$E$27*Daten!$Y$22)*($B$44-IF($C$24=Daten!$P$52,$D$24,N52)))/($C$21*$C$22))*S52+(((($D$21*$D$22)*'U-Wert'!$E$46*Daten!$Y$29)*($B$44-IF($C$25=Daten!$P$52,$D$25,N52)))/($C$21*$C$22))*S52),0,(((($D$21+$D$22)*2*$D$23*'U-Wert'!$E$27*Daten!$Y$22)*($B$44-IF($C$24=Daten!$P$52,$D$24,N52)))/($C$21*$C$22))*S52+(((($D$21*$D$22)*'U-Wert'!$E$46*Daten!$Y$29)*($B$44-IF($C$25=Daten!$P$52,$D$25,N52)))/($C$21*$C$22))*S52)</f>
        <v>0</v>
      </c>
      <c r="G52" s="81">
        <f>IF(ISNA(IF($C$18=Daten!$P$29,0,X52)*S52),0,IF($C$18=Daten!$P$29,0,X52)*S52)</f>
        <v>0</v>
      </c>
      <c r="H52" s="124">
        <f>IF(IF($G$44=Daten!$P$32,(SUM(C52:E52)*0.15*(24-$H$44)*O52+SUM(C52:E52)*1*$H$44*O52+(F52-G52*0.7)*24*O52)/1000*$A$44,(SUM(C52:E52)*24*O52+(F52-G52*0.7)*24*O52)/1000*$A$44)&lt;0,0,IF($G$44=Daten!$P$32,(SUM(C52:E52)*0.15*(24-$H$44)*O52+SUM(C52:E52)*1*$H$44*O52+(F52-G52*0.7)*24*O52)/1000*$A$44,(SUM(C52:E52)*24*O52+(F52-G52*0.7)*24*O52)/1000*$A$44))</f>
        <v>0</v>
      </c>
      <c r="J52" s="125"/>
      <c r="K52" s="126"/>
      <c r="L52" s="126"/>
      <c r="M52" s="127" t="s">
        <v>16</v>
      </c>
      <c r="N52" s="128" t="e">
        <f>VLOOKUP(Schwimmbadbilanz!$G$23,Daten!$A$5:$N$46,6,FALSE)</f>
        <v>#N/A</v>
      </c>
      <c r="O52" s="83">
        <v>31</v>
      </c>
      <c r="P52" s="129" t="s">
        <v>16</v>
      </c>
      <c r="Q52" s="108">
        <v>5</v>
      </c>
      <c r="R52" s="91"/>
      <c r="S52" s="91" t="e">
        <f>IF($C$18=Daten!$P$29,1,IF(AND(Q52&gt;=$R$48,Q52&lt;=$R$49),1,0))</f>
        <v>#N/A</v>
      </c>
      <c r="T52" s="83" t="e">
        <f t="shared" si="2"/>
        <v>#N/A</v>
      </c>
      <c r="U52" s="129" t="s">
        <v>16</v>
      </c>
      <c r="V52" s="82" t="e">
        <f>VLOOKUP($G$23,Daten!$A$92:$M$132,W52,FALSE)/3.6</f>
        <v>#N/A</v>
      </c>
      <c r="W52" s="91">
        <v>6</v>
      </c>
      <c r="X52" s="123" t="e">
        <f t="shared" si="8"/>
        <v>#N/A</v>
      </c>
      <c r="Y52" s="91">
        <v>0.7</v>
      </c>
      <c r="Z52" s="123" t="e">
        <f t="shared" si="9"/>
        <v>#N/A</v>
      </c>
      <c r="AA52" s="129" t="s">
        <v>16</v>
      </c>
      <c r="AB52" s="130">
        <f t="shared" si="10"/>
        <v>3.7730470054291813E-3</v>
      </c>
      <c r="AC52" s="130" t="e">
        <f>IF($C$18=Daten!$P$29,622*($D$26*(6.1078*EXP(17.08085*$D$44/(234.175+$D$44)))/100)/(1013-($D$26*(6.1078*EXP(17.08085*$D$44/(234.175+$D$44)))/100))/1000,622*(AE52*(6.1078*EXP(17.08085*N52/(234.175+N52)))/100)/(1013-(AE52*(6.1078*EXP(17.08085*N52/(234.175+N52)))/100))/1000)</f>
        <v>#N/A</v>
      </c>
      <c r="AD52" s="131">
        <f t="shared" si="11"/>
        <v>2495.9630326349061</v>
      </c>
      <c r="AE52" s="131" t="e">
        <f t="shared" si="3"/>
        <v>#N/A</v>
      </c>
      <c r="AF52" s="132" t="e">
        <f>(25+19*IF($C$18=Daten!$P$29,Daten!$R$46,VLOOKUP($G$22,Daten!$P$43:$R$45,3,FALSE)))*((($AC$62+AB52*$AC$63)*$B$44+AB52*AD52)-(($AC$62+AC52*$AC$63)*IF($C$18=Daten!$P$29,$D$44,N52)+AC52*AD52))/3.6</f>
        <v>#N/A</v>
      </c>
      <c r="AG52" s="133" t="e">
        <f>VLOOKUP($G$23,Daten!$A$49:$M$89,W52,FALSE)</f>
        <v>#N/A</v>
      </c>
      <c r="AH52" s="82" t="e">
        <f t="shared" si="4"/>
        <v>#N/A</v>
      </c>
      <c r="AI52" s="134" t="e">
        <f t="shared" si="5"/>
        <v>#N/A</v>
      </c>
      <c r="AJ52" s="135" t="e">
        <f t="shared" si="12"/>
        <v>#N/A</v>
      </c>
      <c r="AK52" s="135" t="e">
        <f t="shared" si="6"/>
        <v>#N/A</v>
      </c>
      <c r="AL52" s="136" t="e">
        <f>((25+19*VLOOKUP($G$22,Daten!$P$43:$R$45,3,FALSE))*(Schwimmbadbilanz!AK52-Schwimmbadbilanz!AI52))/3.6</f>
        <v>#N/A</v>
      </c>
      <c r="AM52" s="137" t="e">
        <f t="shared" si="13"/>
        <v>#N/A</v>
      </c>
      <c r="AN52" s="138" t="e">
        <f>IF($C$18=Daten!$P$29,(25+19*Daten!$R$46)*(VLOOKUP($B$44,Daten!$P$5:$R$19,2,FALSE)-VLOOKUP(ROUND($D$44,0),Daten!$S$5:$U$45,2,FALSE))*VLOOKUP($B$44,Daten!$P$5:$R$19,3,FALSE),(25+19*VLOOKUP($G$22,Daten!$P$43:$R$46,3,FALSE))*(VLOOKUP($B$44,Daten!$P$5:$R$19,2,FALSE)-VLOOKUP(ROUND(N52,0),Daten!$S$5:$U$45,3,FALSE))*VLOOKUP($B$44,Daten!$P$5:$R$19,3,FALSE))</f>
        <v>#N/A</v>
      </c>
      <c r="AO52" s="139" t="e">
        <f t="shared" si="14"/>
        <v>#N/A</v>
      </c>
      <c r="AP52" s="109"/>
      <c r="AQ52" s="109"/>
    </row>
    <row r="53" spans="1:52" x14ac:dyDescent="0.3">
      <c r="A53" s="260" t="str">
        <f t="shared" si="7"/>
        <v/>
      </c>
      <c r="B53" s="260"/>
      <c r="C53" s="122">
        <f t="shared" si="15"/>
        <v>0</v>
      </c>
      <c r="D53" s="123">
        <f>IF(ISNA(IF($C$18=Daten!$P$29,4.07*($B$44-$D$44),VLOOKUP($G$22,Daten!$P$43:$Q$45,2,FALSE)*($B$44-N53))*S53),0,IF($C$18=Daten!$P$29,4.07*($B$44-$D$44),VLOOKUP($G$22,Daten!$P$43:$Q$45,2,FALSE)*($B$44-N53))*S53)</f>
        <v>0</v>
      </c>
      <c r="E53" s="123">
        <f>IF(ISNA(IF($C$18=Daten!$P$29,IF($D$44&gt;$B$44,0,5.56*($B$44-$D$44)),5.56*($B$44-N53))*S53),0,IF($C$18=Daten!$P$29,IF($D$44&gt;$B$44,0,5.56*($B$44-$D$44)),5.56*($B$44-N53))*S53)</f>
        <v>0</v>
      </c>
      <c r="F53" s="123">
        <f>IF(ISNA((((($D$21+$D$22)*2*$D$23*'U-Wert'!$E$27*Daten!$Y$22)*($B$44-IF($C$24=Daten!$P$52,$D$24,N53)))/($C$21*$C$22))*S53+(((($D$21*$D$22)*'U-Wert'!$E$46*Daten!$Y$29)*($B$44-IF($C$25=Daten!$P$52,$D$25,N53)))/($C$21*$C$22))*S53),0,(((($D$21+$D$22)*2*$D$23*'U-Wert'!$E$27*Daten!$Y$22)*($B$44-IF($C$24=Daten!$P$52,$D$24,N53)))/($C$21*$C$22))*S53+(((($D$21*$D$22)*'U-Wert'!$E$46*Daten!$Y$29)*($B$44-IF($C$25=Daten!$P$52,$D$25,N53)))/($C$21*$C$22))*S53)</f>
        <v>0</v>
      </c>
      <c r="G53" s="81">
        <f>IF(ISNA(IF($C$18=Daten!$P$29,0,X53)*S53),0,IF($C$18=Daten!$P$29,0,X53)*S53)</f>
        <v>0</v>
      </c>
      <c r="H53" s="124">
        <f>IF(IF($G$44=Daten!$P$32,(SUM(C53:E53)*0.15*(24-$H$44)*O53+SUM(C53:E53)*1*$H$44*O53+(F53-G53*0.7)*24*O53)/1000*$A$44,(SUM(C53:E53)*24*O53+(F53-G53*0.7)*24*O53)/1000*$A$44)&lt;0,0,IF($G$44=Daten!$P$32,(SUM(C53:E53)*0.15*(24-$H$44)*O53+SUM(C53:E53)*1*$H$44*O53+(F53-G53*0.7)*24*O53)/1000*$A$44,(SUM(C53:E53)*24*O53+(F53-G53*0.7)*24*O53)/1000*$A$44))</f>
        <v>0</v>
      </c>
      <c r="J53" s="125"/>
      <c r="K53" s="126"/>
      <c r="L53" s="126"/>
      <c r="M53" s="127" t="s">
        <v>17</v>
      </c>
      <c r="N53" s="128" t="e">
        <f>VLOOKUP(Schwimmbadbilanz!$G$23,Daten!$A$5:$N$46,7,FALSE)</f>
        <v>#N/A</v>
      </c>
      <c r="O53" s="83">
        <v>30</v>
      </c>
      <c r="P53" s="129" t="s">
        <v>17</v>
      </c>
      <c r="Q53" s="108">
        <v>6</v>
      </c>
      <c r="R53" s="91"/>
      <c r="S53" s="91" t="e">
        <f>IF($C$18=Daten!$P$29,1,IF(AND(Q53&gt;=$R$48,Q53&lt;=$R$49),1,0))</f>
        <v>#N/A</v>
      </c>
      <c r="T53" s="83" t="e">
        <f t="shared" si="2"/>
        <v>#N/A</v>
      </c>
      <c r="U53" s="129" t="s">
        <v>17</v>
      </c>
      <c r="V53" s="82" t="e">
        <f>VLOOKUP($G$23,Daten!$A$92:$M$132,W53,FALSE)/3.6</f>
        <v>#N/A</v>
      </c>
      <c r="W53" s="91">
        <v>7</v>
      </c>
      <c r="X53" s="123" t="e">
        <f t="shared" si="8"/>
        <v>#N/A</v>
      </c>
      <c r="Y53" s="91">
        <v>0.7</v>
      </c>
      <c r="Z53" s="123" t="e">
        <f t="shared" si="9"/>
        <v>#N/A</v>
      </c>
      <c r="AA53" s="129" t="s">
        <v>17</v>
      </c>
      <c r="AB53" s="130">
        <f t="shared" si="10"/>
        <v>3.7730470054291813E-3</v>
      </c>
      <c r="AC53" s="130" t="e">
        <f>IF($C$18=Daten!$P$29,622*($D$26*(6.1078*EXP(17.08085*$D$44/(234.175+$D$44)))/100)/(1013-($D$26*(6.1078*EXP(17.08085*$D$44/(234.175+$D$44)))/100))/1000,622*(AE53*(6.1078*EXP(17.08085*N53/(234.175+N53)))/100)/(1013-(AE53*(6.1078*EXP(17.08085*N53/(234.175+N53)))/100))/1000)</f>
        <v>#N/A</v>
      </c>
      <c r="AD53" s="131">
        <f t="shared" si="11"/>
        <v>2495.9630326349061</v>
      </c>
      <c r="AE53" s="131" t="e">
        <f t="shared" si="3"/>
        <v>#N/A</v>
      </c>
      <c r="AF53" s="132" t="e">
        <f>(25+19*IF($C$18=Daten!$P$29,Daten!$R$46,VLOOKUP($G$22,Daten!$P$43:$R$45,3,FALSE)))*((($AC$62+AB53*$AC$63)*$B$44+AB53*AD53)-(($AC$62+AC53*$AC$63)*IF($C$18=Daten!$P$29,$D$44,N53)+AC53*AD53))/3.6</f>
        <v>#N/A</v>
      </c>
      <c r="AG53" s="133" t="e">
        <f>VLOOKUP($G$23,Daten!$A$49:$M$89,W53,FALSE)</f>
        <v>#N/A</v>
      </c>
      <c r="AH53" s="82" t="e">
        <f t="shared" si="4"/>
        <v>#N/A</v>
      </c>
      <c r="AI53" s="134" t="e">
        <f t="shared" si="5"/>
        <v>#N/A</v>
      </c>
      <c r="AJ53" s="135" t="e">
        <f t="shared" si="12"/>
        <v>#N/A</v>
      </c>
      <c r="AK53" s="135" t="e">
        <f t="shared" si="6"/>
        <v>#N/A</v>
      </c>
      <c r="AL53" s="136" t="e">
        <f>((25+19*VLOOKUP($G$22,Daten!$P$43:$R$45,3,FALSE))*(Schwimmbadbilanz!AK53-Schwimmbadbilanz!AI53))/3.6</f>
        <v>#N/A</v>
      </c>
      <c r="AM53" s="137" t="e">
        <f t="shared" si="13"/>
        <v>#N/A</v>
      </c>
      <c r="AN53" s="138" t="e">
        <f>IF($C$18=Daten!$P$29,(25+19*Daten!$R$46)*(VLOOKUP($B$44,Daten!$P$5:$R$19,2,FALSE)-VLOOKUP(ROUND($D$44,0),Daten!$S$5:$U$45,2,FALSE))*VLOOKUP($B$44,Daten!$P$5:$R$19,3,FALSE),(25+19*VLOOKUP($G$22,Daten!$P$43:$R$46,3,FALSE))*(VLOOKUP($B$44,Daten!$P$5:$R$19,2,FALSE)-VLOOKUP(ROUND(N53,0),Daten!$S$5:$U$45,3,FALSE))*VLOOKUP($B$44,Daten!$P$5:$R$19,3,FALSE))</f>
        <v>#N/A</v>
      </c>
      <c r="AO53" s="139" t="e">
        <f t="shared" si="14"/>
        <v>#N/A</v>
      </c>
      <c r="AP53" s="109"/>
      <c r="AQ53" s="109"/>
      <c r="AX53" s="142"/>
      <c r="AY53" s="91"/>
      <c r="AZ53" s="143"/>
    </row>
    <row r="54" spans="1:52" x14ac:dyDescent="0.3">
      <c r="A54" s="260" t="str">
        <f t="shared" si="7"/>
        <v/>
      </c>
      <c r="B54" s="260"/>
      <c r="C54" s="122">
        <f t="shared" si="15"/>
        <v>0</v>
      </c>
      <c r="D54" s="123">
        <f>IF(ISNA(IF($C$18=Daten!$P$29,4.07*($B$44-$D$44),VLOOKUP($G$22,Daten!$P$43:$Q$45,2,FALSE)*($B$44-N54))*S54),0,IF($C$18=Daten!$P$29,4.07*($B$44-$D$44),VLOOKUP($G$22,Daten!$P$43:$Q$45,2,FALSE)*($B$44-N54))*S54)</f>
        <v>0</v>
      </c>
      <c r="E54" s="123">
        <f>IF(ISNA(IF($C$18=Daten!$P$29,IF($D$44&gt;$B$44,0,5.56*($B$44-$D$44)),5.56*($B$44-N54))*S54),0,IF($C$18=Daten!$P$29,IF($D$44&gt;$B$44,0,5.56*($B$44-$D$44)),5.56*($B$44-N54))*S54)</f>
        <v>0</v>
      </c>
      <c r="F54" s="123">
        <f>IF(ISNA((((($D$21+$D$22)*2*$D$23*'U-Wert'!$E$27*Daten!$Y$22)*($B$44-IF($C$24=Daten!$P$52,$D$24,N54)))/($C$21*$C$22))*S54+(((($D$21*$D$22)*'U-Wert'!$E$46*Daten!$Y$29)*($B$44-IF($C$25=Daten!$P$52,$D$25,N54)))/($C$21*$C$22))*S54),0,(((($D$21+$D$22)*2*$D$23*'U-Wert'!$E$27*Daten!$Y$22)*($B$44-IF($C$24=Daten!$P$52,$D$24,N54)))/($C$21*$C$22))*S54+(((($D$21*$D$22)*'U-Wert'!$E$46*Daten!$Y$29)*($B$44-IF($C$25=Daten!$P$52,$D$25,N54)))/($C$21*$C$22))*S54)</f>
        <v>0</v>
      </c>
      <c r="G54" s="81">
        <f>IF(ISNA(IF($C$18=Daten!$P$29,0,X54)*S54),0,IF($C$18=Daten!$P$29,0,X54)*S54)</f>
        <v>0</v>
      </c>
      <c r="H54" s="124">
        <f>IF(IF($G$44=Daten!$P$32,(SUM(C54:E54)*0.15*(24-$H$44)*O54+SUM(C54:E54)*1*$H$44*O54+(F54-G54*0.7)*24*O54)/1000*$A$44,(SUM(C54:E54)*24*O54+(F54-G54*0.7)*24*O54)/1000*$A$44)&lt;0,0,IF($G$44=Daten!$P$32,(SUM(C54:E54)*0.15*(24-$H$44)*O54+SUM(C54:E54)*1*$H$44*O54+(F54-G54*0.7)*24*O54)/1000*$A$44,(SUM(C54:E54)*24*O54+(F54-G54*0.7)*24*O54)/1000*$A$44))</f>
        <v>0</v>
      </c>
      <c r="J54" s="125"/>
      <c r="K54" s="126"/>
      <c r="L54" s="126"/>
      <c r="M54" s="127" t="s">
        <v>18</v>
      </c>
      <c r="N54" s="128" t="e">
        <f>VLOOKUP(Schwimmbadbilanz!$G$23,Daten!$A$5:$N$46,8,FALSE)</f>
        <v>#N/A</v>
      </c>
      <c r="O54" s="83">
        <v>31</v>
      </c>
      <c r="P54" s="129" t="s">
        <v>18</v>
      </c>
      <c r="Q54" s="108">
        <v>7</v>
      </c>
      <c r="R54" s="91"/>
      <c r="S54" s="91" t="e">
        <f>IF($C$18=Daten!$P$29,1,IF(AND(Q54&gt;=$R$48,Q54&lt;=$R$49),1,0))</f>
        <v>#N/A</v>
      </c>
      <c r="T54" s="83" t="e">
        <f t="shared" si="2"/>
        <v>#N/A</v>
      </c>
      <c r="U54" s="129" t="s">
        <v>18</v>
      </c>
      <c r="V54" s="82" t="e">
        <f>VLOOKUP($G$23,Daten!$A$92:$M$132,W54,FALSE)/3.6</f>
        <v>#N/A</v>
      </c>
      <c r="W54" s="91">
        <v>8</v>
      </c>
      <c r="X54" s="123" t="e">
        <f t="shared" si="8"/>
        <v>#N/A</v>
      </c>
      <c r="Y54" s="91">
        <v>0.7</v>
      </c>
      <c r="Z54" s="123" t="e">
        <f t="shared" si="9"/>
        <v>#N/A</v>
      </c>
      <c r="AA54" s="129" t="s">
        <v>18</v>
      </c>
      <c r="AB54" s="130">
        <f t="shared" si="10"/>
        <v>3.7730470054291813E-3</v>
      </c>
      <c r="AC54" s="130" t="e">
        <f>IF($C$18=Daten!$P$29,622*($D$26*(6.1078*EXP(17.08085*$D$44/(234.175+$D$44)))/100)/(1013-($D$26*(6.1078*EXP(17.08085*$D$44/(234.175+$D$44)))/100))/1000,622*(AE54*(6.1078*EXP(17.08085*N54/(234.175+N54)))/100)/(1013-(AE54*(6.1078*EXP(17.08085*N54/(234.175+N54)))/100))/1000)</f>
        <v>#N/A</v>
      </c>
      <c r="AD54" s="131">
        <f t="shared" si="11"/>
        <v>2495.9630326349061</v>
      </c>
      <c r="AE54" s="131" t="e">
        <f t="shared" si="3"/>
        <v>#N/A</v>
      </c>
      <c r="AF54" s="132" t="e">
        <f>(25+19*IF($C$18=Daten!$P$29,Daten!$R$46,VLOOKUP($G$22,Daten!$P$43:$R$45,3,FALSE)))*((($AC$62+AB54*$AC$63)*$B$44+AB54*AD54)-(($AC$62+AC54*$AC$63)*IF($C$18=Daten!$P$29,$D$44,N54)+AC54*AD54))/3.6</f>
        <v>#N/A</v>
      </c>
      <c r="AG54" s="133" t="e">
        <f>VLOOKUP($G$23,Daten!$A$49:$M$89,W54,FALSE)</f>
        <v>#N/A</v>
      </c>
      <c r="AH54" s="82" t="e">
        <f t="shared" si="4"/>
        <v>#N/A</v>
      </c>
      <c r="AI54" s="134" t="e">
        <f t="shared" si="5"/>
        <v>#N/A</v>
      </c>
      <c r="AJ54" s="135" t="e">
        <f t="shared" si="12"/>
        <v>#N/A</v>
      </c>
      <c r="AK54" s="135" t="e">
        <f t="shared" si="6"/>
        <v>#N/A</v>
      </c>
      <c r="AL54" s="136" t="e">
        <f>((25+19*VLOOKUP($G$22,Daten!$P$43:$R$45,3,FALSE))*(Schwimmbadbilanz!AK54-Schwimmbadbilanz!AI54))/3.6</f>
        <v>#N/A</v>
      </c>
      <c r="AM54" s="137" t="e">
        <f t="shared" si="13"/>
        <v>#N/A</v>
      </c>
      <c r="AN54" s="138" t="e">
        <f>IF($C$18=Daten!$P$29,(25+19*Daten!$R$46)*(VLOOKUP($B$44,Daten!$P$5:$R$19,2,FALSE)-VLOOKUP(ROUND($D$44,0),Daten!$S$5:$U$45,2,FALSE))*VLOOKUP($B$44,Daten!$P$5:$R$19,3,FALSE),(25+19*VLOOKUP($G$22,Daten!$P$43:$R$46,3,FALSE))*(VLOOKUP($B$44,Daten!$P$5:$R$19,2,FALSE)-VLOOKUP(ROUND(N54,0),Daten!$S$5:$U$45,3,FALSE))*VLOOKUP($B$44,Daten!$P$5:$R$19,3,FALSE))</f>
        <v>#N/A</v>
      </c>
      <c r="AO54" s="139" t="e">
        <f t="shared" si="14"/>
        <v>#N/A</v>
      </c>
      <c r="AP54" s="109"/>
      <c r="AQ54" s="109"/>
      <c r="AX54" s="144"/>
      <c r="AY54" s="91"/>
      <c r="AZ54" s="143"/>
    </row>
    <row r="55" spans="1:52" x14ac:dyDescent="0.3">
      <c r="A55" s="260" t="str">
        <f t="shared" si="7"/>
        <v/>
      </c>
      <c r="B55" s="260"/>
      <c r="C55" s="122">
        <f t="shared" si="15"/>
        <v>0</v>
      </c>
      <c r="D55" s="123">
        <f>IF(ISNA(IF($C$18=Daten!$P$29,4.07*($B$44-$D$44),VLOOKUP($G$22,Daten!$P$43:$Q$45,2,FALSE)*($B$44-N55))*S55),0,IF($C$18=Daten!$P$29,4.07*($B$44-$D$44),VLOOKUP($G$22,Daten!$P$43:$Q$45,2,FALSE)*($B$44-N55))*S55)</f>
        <v>0</v>
      </c>
      <c r="E55" s="123">
        <f>IF(ISNA(IF($C$18=Daten!$P$29,IF($D$44&gt;$B$44,0,5.56*($B$44-$D$44)),5.56*($B$44-N55))*S55),0,IF($C$18=Daten!$P$29,IF($D$44&gt;$B$44,0,5.56*($B$44-$D$44)),5.56*($B$44-N55))*S55)</f>
        <v>0</v>
      </c>
      <c r="F55" s="123">
        <f>IF(ISNA((((($D$21+$D$22)*2*$D$23*'U-Wert'!$E$27*Daten!$Y$22)*($B$44-IF($C$24=Daten!$P$52,$D$24,N55)))/($C$21*$C$22))*S55+(((($D$21*$D$22)*'U-Wert'!$E$46*Daten!$Y$29)*($B$44-IF($C$25=Daten!$P$52,$D$25,N55)))/($C$21*$C$22))*S55),0,(((($D$21+$D$22)*2*$D$23*'U-Wert'!$E$27*Daten!$Y$22)*($B$44-IF($C$24=Daten!$P$52,$D$24,N55)))/($C$21*$C$22))*S55+(((($D$21*$D$22)*'U-Wert'!$E$46*Daten!$Y$29)*($B$44-IF($C$25=Daten!$P$52,$D$25,N55)))/($C$21*$C$22))*S55)</f>
        <v>0</v>
      </c>
      <c r="G55" s="81">
        <f>IF(ISNA(IF($C$18=Daten!$P$29,0,X55)*S55),0,IF($C$18=Daten!$P$29,0,X55)*S55)</f>
        <v>0</v>
      </c>
      <c r="H55" s="124">
        <f>IF(IF($G$44=Daten!$P$32,(SUM(C55:E55)*0.15*(24-$H$44)*O55+SUM(C55:E55)*1*$H$44*O55+(F55-G55*0.7)*24*O55)/1000*$A$44,(SUM(C55:E55)*24*O55+(F55-G55*0.7)*24*O55)/1000*$A$44)&lt;0,0,IF($G$44=Daten!$P$32,(SUM(C55:E55)*0.15*(24-$H$44)*O55+SUM(C55:E55)*1*$H$44*O55+(F55-G55*0.7)*24*O55)/1000*$A$44,(SUM(C55:E55)*24*O55+(F55-G55*0.7)*24*O55)/1000*$A$44))</f>
        <v>0</v>
      </c>
      <c r="J55" s="125"/>
      <c r="K55" s="126"/>
      <c r="L55" s="126"/>
      <c r="M55" s="127" t="s">
        <v>19</v>
      </c>
      <c r="N55" s="128" t="e">
        <f>VLOOKUP(Schwimmbadbilanz!$G$23,Daten!$A$5:$N$46,9,FALSE)</f>
        <v>#N/A</v>
      </c>
      <c r="O55" s="83">
        <v>31</v>
      </c>
      <c r="P55" s="129" t="s">
        <v>19</v>
      </c>
      <c r="Q55" s="108">
        <v>8</v>
      </c>
      <c r="R55" s="91"/>
      <c r="S55" s="91" t="e">
        <f>IF($C$18=Daten!$P$29,1,IF(AND(Q55&gt;=$R$48,Q55&lt;=$R$49),1,0))</f>
        <v>#N/A</v>
      </c>
      <c r="T55" s="83" t="e">
        <f t="shared" si="2"/>
        <v>#N/A</v>
      </c>
      <c r="U55" s="129" t="s">
        <v>19</v>
      </c>
      <c r="V55" s="82" t="e">
        <f>VLOOKUP($G$23,Daten!$A$92:$M$132,W55,FALSE)/3.6</f>
        <v>#N/A</v>
      </c>
      <c r="W55" s="91">
        <v>9</v>
      </c>
      <c r="X55" s="123" t="e">
        <f t="shared" si="8"/>
        <v>#N/A</v>
      </c>
      <c r="Y55" s="91">
        <v>0.7</v>
      </c>
      <c r="Z55" s="123" t="e">
        <f t="shared" si="9"/>
        <v>#N/A</v>
      </c>
      <c r="AA55" s="129" t="s">
        <v>19</v>
      </c>
      <c r="AB55" s="130">
        <f t="shared" si="10"/>
        <v>3.7730470054291813E-3</v>
      </c>
      <c r="AC55" s="130" t="e">
        <f>IF($C$18=Daten!$P$29,622*($D$26*(6.1078*EXP(17.08085*$D$44/(234.175+$D$44)))/100)/(1013-($D$26*(6.1078*EXP(17.08085*$D$44/(234.175+$D$44)))/100))/1000,622*(AE55*(6.1078*EXP(17.08085*N55/(234.175+N55)))/100)/(1013-(AE55*(6.1078*EXP(17.08085*N55/(234.175+N55)))/100))/1000)</f>
        <v>#N/A</v>
      </c>
      <c r="AD55" s="131">
        <f t="shared" si="11"/>
        <v>2495.9630326349061</v>
      </c>
      <c r="AE55" s="131" t="e">
        <f t="shared" si="3"/>
        <v>#N/A</v>
      </c>
      <c r="AF55" s="132" t="e">
        <f>(25+19*IF($C$18=Daten!$P$29,Daten!$R$46,VLOOKUP($G$22,Daten!$P$43:$R$45,3,FALSE)))*((($AC$62+AB55*$AC$63)*$B$44+AB55*AD55)-(($AC$62+AC55*$AC$63)*IF($C$18=Daten!$P$29,$D$44,N55)+AC55*AD55))/3.6</f>
        <v>#N/A</v>
      </c>
      <c r="AG55" s="133" t="e">
        <f>VLOOKUP($G$23,Daten!$A$49:$M$89,W55,FALSE)</f>
        <v>#N/A</v>
      </c>
      <c r="AH55" s="82" t="e">
        <f t="shared" si="4"/>
        <v>#N/A</v>
      </c>
      <c r="AI55" s="134" t="e">
        <f t="shared" si="5"/>
        <v>#N/A</v>
      </c>
      <c r="AJ55" s="135" t="e">
        <f t="shared" si="12"/>
        <v>#N/A</v>
      </c>
      <c r="AK55" s="135" t="e">
        <f t="shared" si="6"/>
        <v>#N/A</v>
      </c>
      <c r="AL55" s="136" t="e">
        <f>((25+19*VLOOKUP($G$22,Daten!$P$43:$R$45,3,FALSE))*(Schwimmbadbilanz!AK55-Schwimmbadbilanz!AI55))/3.6</f>
        <v>#N/A</v>
      </c>
      <c r="AM55" s="137" t="e">
        <f t="shared" si="13"/>
        <v>#N/A</v>
      </c>
      <c r="AN55" s="138" t="e">
        <f>IF($C$18=Daten!$P$29,(25+19*Daten!$R$46)*(VLOOKUP($B$44,Daten!$P$5:$R$19,2,FALSE)-VLOOKUP(ROUND($D$44,0),Daten!$S$5:$U$45,2,FALSE))*VLOOKUP($B$44,Daten!$P$5:$R$19,3,FALSE),(25+19*VLOOKUP($G$22,Daten!$P$43:$R$46,3,FALSE))*(VLOOKUP($B$44,Daten!$P$5:$R$19,2,FALSE)-VLOOKUP(ROUND(N55,0),Daten!$S$5:$U$45,3,FALSE))*VLOOKUP($B$44,Daten!$P$5:$R$19,3,FALSE))</f>
        <v>#N/A</v>
      </c>
      <c r="AO55" s="139" t="e">
        <f t="shared" si="14"/>
        <v>#N/A</v>
      </c>
      <c r="AP55" s="109"/>
      <c r="AQ55" s="109"/>
    </row>
    <row r="56" spans="1:52" x14ac:dyDescent="0.3">
      <c r="A56" s="260" t="str">
        <f t="shared" si="7"/>
        <v/>
      </c>
      <c r="B56" s="260"/>
      <c r="C56" s="122">
        <f t="shared" si="15"/>
        <v>0</v>
      </c>
      <c r="D56" s="123">
        <f>IF(ISNA(IF($C$18=Daten!$P$29,4.07*($B$44-$D$44),VLOOKUP($G$22,Daten!$P$43:$Q$45,2,FALSE)*($B$44-N56))*S56),0,IF($C$18=Daten!$P$29,4.07*($B$44-$D$44),VLOOKUP($G$22,Daten!$P$43:$Q$45,2,FALSE)*($B$44-N56))*S56)</f>
        <v>0</v>
      </c>
      <c r="E56" s="123">
        <f>IF(ISNA(IF($C$18=Daten!$P$29,IF($D$44&gt;$B$44,0,5.56*($B$44-$D$44)),5.56*($B$44-N56))*S56),0,IF($C$18=Daten!$P$29,IF($D$44&gt;$B$44,0,5.56*($B$44-$D$44)),5.56*($B$44-N56))*S56)</f>
        <v>0</v>
      </c>
      <c r="F56" s="123">
        <f>IF(ISNA((((($D$21+$D$22)*2*$D$23*'U-Wert'!$E$27*Daten!$Y$22)*($B$44-IF($C$24=Daten!$P$52,$D$24,N56)))/($C$21*$C$22))*S56+(((($D$21*$D$22)*'U-Wert'!$E$46*Daten!$Y$29)*($B$44-IF($C$25=Daten!$P$52,$D$25,N56)))/($C$21*$C$22))*S56),0,(((($D$21+$D$22)*2*$D$23*'U-Wert'!$E$27*Daten!$Y$22)*($B$44-IF($C$24=Daten!$P$52,$D$24,N56)))/($C$21*$C$22))*S56+(((($D$21*$D$22)*'U-Wert'!$E$46*Daten!$Y$29)*($B$44-IF($C$25=Daten!$P$52,$D$25,N56)))/($C$21*$C$22))*S56)</f>
        <v>0</v>
      </c>
      <c r="G56" s="81">
        <f>IF(ISNA(IF($C$18=Daten!$P$29,0,X56)*S56),0,IF($C$18=Daten!$P$29,0,X56)*S56)</f>
        <v>0</v>
      </c>
      <c r="H56" s="124">
        <f>IF(IF($G$44=Daten!$P$32,(SUM(C56:E56)*0.15*(24-$H$44)*O56+SUM(C56:E56)*1*$H$44*O56+(F56-G56*0.7)*24*O56)/1000*$A$44,(SUM(C56:E56)*24*O56+(F56-G56*0.7)*24*O56)/1000*$A$44)&lt;0,0,IF($G$44=Daten!$P$32,(SUM(C56:E56)*0.15*(24-$H$44)*O56+SUM(C56:E56)*1*$H$44*O56+(F56-G56*0.7)*24*O56)/1000*$A$44,(SUM(C56:E56)*24*O56+(F56-G56*0.7)*24*O56)/1000*$A$44))</f>
        <v>0</v>
      </c>
      <c r="J56" s="125"/>
      <c r="K56" s="126"/>
      <c r="L56" s="126"/>
      <c r="M56" s="127" t="s">
        <v>20</v>
      </c>
      <c r="N56" s="128" t="e">
        <f>VLOOKUP(Schwimmbadbilanz!$G$23,Daten!$A$5:$N46,10,FALSE)</f>
        <v>#N/A</v>
      </c>
      <c r="O56" s="83">
        <v>30</v>
      </c>
      <c r="P56" s="129" t="s">
        <v>20</v>
      </c>
      <c r="Q56" s="108">
        <v>9</v>
      </c>
      <c r="R56" s="91"/>
      <c r="S56" s="91" t="e">
        <f>IF($C$18=Daten!$P$29,1,IF(AND(Q56&gt;=$R$48,Q56&lt;=$R$49),1,0))</f>
        <v>#N/A</v>
      </c>
      <c r="T56" s="83" t="e">
        <f t="shared" si="2"/>
        <v>#N/A</v>
      </c>
      <c r="U56" s="129" t="s">
        <v>20</v>
      </c>
      <c r="V56" s="82" t="e">
        <f>VLOOKUP($G$23,Daten!$A$92:$M$132,W56,FALSE)/3.6</f>
        <v>#N/A</v>
      </c>
      <c r="W56" s="91">
        <v>10</v>
      </c>
      <c r="X56" s="123" t="e">
        <f t="shared" si="8"/>
        <v>#N/A</v>
      </c>
      <c r="Y56" s="91">
        <v>0.7</v>
      </c>
      <c r="Z56" s="123" t="e">
        <f t="shared" si="9"/>
        <v>#N/A</v>
      </c>
      <c r="AA56" s="129" t="s">
        <v>20</v>
      </c>
      <c r="AB56" s="130">
        <f t="shared" si="10"/>
        <v>3.7730470054291813E-3</v>
      </c>
      <c r="AC56" s="130" t="e">
        <f>IF($C$18=Daten!$P$29,622*($D$26*(6.1078*EXP(17.08085*$D$44/(234.175+$D$44)))/100)/(1013-($D$26*(6.1078*EXP(17.08085*$D$44/(234.175+$D$44)))/100))/1000,622*(AE56*(6.1078*EXP(17.08085*N56/(234.175+N56)))/100)/(1013-(AE56*(6.1078*EXP(17.08085*N56/(234.175+N56)))/100))/1000)</f>
        <v>#N/A</v>
      </c>
      <c r="AD56" s="131">
        <f t="shared" si="11"/>
        <v>2495.9630326349061</v>
      </c>
      <c r="AE56" s="131" t="e">
        <f t="shared" si="3"/>
        <v>#N/A</v>
      </c>
      <c r="AF56" s="132" t="e">
        <f>(25+19*IF($C$18=Daten!$P$29,Daten!$R$46,VLOOKUP($G$22,Daten!$P$43:$R$45,3,FALSE)))*((($AC$62+AB56*$AC$63)*$B$44+AB56*AD56)-(($AC$62+AC56*$AC$63)*IF($C$18=Daten!$P$29,$D$44,N56)+AC56*AD56))/3.6</f>
        <v>#N/A</v>
      </c>
      <c r="AG56" s="133" t="e">
        <f>VLOOKUP($G$23,Daten!$A$49:$M$89,W56,FALSE)</f>
        <v>#N/A</v>
      </c>
      <c r="AH56" s="82" t="e">
        <f t="shared" si="4"/>
        <v>#N/A</v>
      </c>
      <c r="AI56" s="134" t="e">
        <f t="shared" si="5"/>
        <v>#N/A</v>
      </c>
      <c r="AJ56" s="135" t="e">
        <f t="shared" si="12"/>
        <v>#N/A</v>
      </c>
      <c r="AK56" s="135" t="e">
        <f t="shared" si="6"/>
        <v>#N/A</v>
      </c>
      <c r="AL56" s="136" t="e">
        <f>((25+19*VLOOKUP($G$22,Daten!$P$43:$R$45,3,FALSE))*(Schwimmbadbilanz!AK56-Schwimmbadbilanz!AI56))/3.6</f>
        <v>#N/A</v>
      </c>
      <c r="AM56" s="137" t="e">
        <f t="shared" si="13"/>
        <v>#N/A</v>
      </c>
      <c r="AN56" s="138" t="e">
        <f>IF($C$18=Daten!$P$29,(25+19*Daten!$R$46)*(VLOOKUP($B$44,Daten!$P$5:$R$19,2,FALSE)-VLOOKUP(ROUND($D$44,0),Daten!$S$5:$U$45,2,FALSE))*VLOOKUP($B$44,Daten!$P$5:$R$19,3,FALSE),(25+19*VLOOKUP($G$22,Daten!$P$43:$R$46,3,FALSE))*(VLOOKUP($B$44,Daten!$P$5:$R$19,2,FALSE)-VLOOKUP(ROUND(N56,0),Daten!$S$5:$U$45,3,FALSE))*VLOOKUP($B$44,Daten!$P$5:$R$19,3,FALSE))</f>
        <v>#N/A</v>
      </c>
      <c r="AO56" s="139" t="e">
        <f t="shared" si="14"/>
        <v>#N/A</v>
      </c>
      <c r="AP56" s="109"/>
      <c r="AQ56" s="109"/>
      <c r="AW56" s="143"/>
    </row>
    <row r="57" spans="1:52" x14ac:dyDescent="0.3">
      <c r="A57" s="260" t="str">
        <f t="shared" si="7"/>
        <v/>
      </c>
      <c r="B57" s="260"/>
      <c r="C57" s="122">
        <f t="shared" si="15"/>
        <v>0</v>
      </c>
      <c r="D57" s="123">
        <f>IF(ISNA(IF($C$18=Daten!$P$29,4.07*($B$44-$D$44),VLOOKUP($G$22,Daten!$P$43:$Q$45,2,FALSE)*($B$44-N57))*S57),0,IF($C$18=Daten!$P$29,4.07*($B$44-$D$44),VLOOKUP($G$22,Daten!$P$43:$Q$45,2,FALSE)*($B$44-N57))*S57)</f>
        <v>0</v>
      </c>
      <c r="E57" s="123">
        <f>IF(ISNA(IF($C$18=Daten!$P$29,IF($D$44&gt;$B$44,0,5.56*($B$44-$D$44)),5.56*($B$44-N57))*S57),0,IF($C$18=Daten!$P$29,IF($D$44&gt;$B$44,0,5.56*($B$44-$D$44)),5.56*($B$44-N57))*S57)</f>
        <v>0</v>
      </c>
      <c r="F57" s="123">
        <f>IF(ISNA((((($D$21+$D$22)*2*$D$23*'U-Wert'!$E$27*Daten!$Y$22)*($B$44-IF($C$24=Daten!$P$52,$D$24,N57)))/($C$21*$C$22))*S57+(((($D$21*$D$22)*'U-Wert'!$E$46*Daten!$Y$29)*($B$44-IF($C$25=Daten!$P$52,$D$25,N57)))/($C$21*$C$22))*S57),0,(((($D$21+$D$22)*2*$D$23*'U-Wert'!$E$27*Daten!$Y$22)*($B$44-IF($C$24=Daten!$P$52,$D$24,N57)))/($C$21*$C$22))*S57+(((($D$21*$D$22)*'U-Wert'!$E$46*Daten!$Y$29)*($B$44-IF($C$25=Daten!$P$52,$D$25,N57)))/($C$21*$C$22))*S57)</f>
        <v>0</v>
      </c>
      <c r="G57" s="81">
        <f>IF(ISNA(IF($C$18=Daten!$P$29,0,X57)*S57),0,IF($C$18=Daten!$P$29,0,X57)*S57)</f>
        <v>0</v>
      </c>
      <c r="H57" s="124">
        <f>IF(IF($G$44=Daten!$P$32,(SUM(C57:E57)*0.15*(24-$H$44)*O57+SUM(C57:E57)*1*$H$44*O57+(F57-G57*0.7)*24*O57)/1000*$A$44,(SUM(C57:E57)*24*O57+(F57-G57*0.7)*24*O57)/1000*$A$44)&lt;0,0,IF($G$44=Daten!$P$32,(SUM(C57:E57)*0.15*(24-$H$44)*O57+SUM(C57:E57)*1*$H$44*O57+(F57-G57*0.7)*24*O57)/1000*$A$44,(SUM(C57:E57)*24*O57+(F57-G57*0.7)*24*O57)/1000*$A$44))</f>
        <v>0</v>
      </c>
      <c r="J57" s="125"/>
      <c r="K57" s="126"/>
      <c r="L57" s="126"/>
      <c r="M57" s="127" t="s">
        <v>21</v>
      </c>
      <c r="N57" s="128" t="e">
        <f>VLOOKUP(Schwimmbadbilanz!$G$23,Daten!$A$5:$N$46,11,FALSE)</f>
        <v>#N/A</v>
      </c>
      <c r="O57" s="83">
        <v>31</v>
      </c>
      <c r="P57" s="129" t="s">
        <v>21</v>
      </c>
      <c r="Q57" s="108">
        <v>10</v>
      </c>
      <c r="R57" s="91"/>
      <c r="S57" s="91" t="e">
        <f>IF($C$18=Daten!$P$29,1,IF(AND(Q57&gt;=$R$48,Q57&lt;=$R$49),1,0))</f>
        <v>#N/A</v>
      </c>
      <c r="T57" s="83" t="e">
        <f t="shared" si="2"/>
        <v>#N/A</v>
      </c>
      <c r="U57" s="129" t="s">
        <v>21</v>
      </c>
      <c r="V57" s="82" t="e">
        <f>VLOOKUP($G$23,Daten!$A$92:$M$132,W57,FALSE)/3.6</f>
        <v>#N/A</v>
      </c>
      <c r="W57" s="91">
        <v>11</v>
      </c>
      <c r="X57" s="123" t="e">
        <f t="shared" si="8"/>
        <v>#N/A</v>
      </c>
      <c r="Y57" s="91">
        <v>0.7</v>
      </c>
      <c r="Z57" s="123" t="e">
        <f t="shared" si="9"/>
        <v>#N/A</v>
      </c>
      <c r="AA57" s="129" t="s">
        <v>21</v>
      </c>
      <c r="AB57" s="130">
        <f t="shared" si="10"/>
        <v>3.7730470054291813E-3</v>
      </c>
      <c r="AC57" s="130" t="e">
        <f>IF($C$18=Daten!$P$29,622*($D$26*(6.1078*EXP(17.08085*$D$44/(234.175+$D$44)))/100)/(1013-($D$26*(6.1078*EXP(17.08085*$D$44/(234.175+$D$44)))/100))/1000,622*(AE57*(6.1078*EXP(17.08085*N57/(234.175+N57)))/100)/(1013-(AE57*(6.1078*EXP(17.08085*N57/(234.175+N57)))/100))/1000)</f>
        <v>#N/A</v>
      </c>
      <c r="AD57" s="131">
        <f t="shared" si="11"/>
        <v>2495.9630326349061</v>
      </c>
      <c r="AE57" s="131" t="e">
        <f t="shared" si="3"/>
        <v>#N/A</v>
      </c>
      <c r="AF57" s="132" t="e">
        <f>(25+19*IF($C$18=Daten!$P$29,Daten!$R$46,VLOOKUP($G$22,Daten!$P$43:$R$45,3,FALSE)))*((($AC$62+AB57*$AC$63)*$B$44+AB57*AD57)-(($AC$62+AC57*$AC$63)*IF($C$18=Daten!$P$29,$D$44,N57)+AC57*AD57))/3.6</f>
        <v>#N/A</v>
      </c>
      <c r="AG57" s="133" t="e">
        <f>VLOOKUP($G$23,Daten!$A$49:$M$89,W57,FALSE)</f>
        <v>#N/A</v>
      </c>
      <c r="AH57" s="82" t="e">
        <f t="shared" si="4"/>
        <v>#N/A</v>
      </c>
      <c r="AI57" s="134" t="e">
        <f t="shared" si="5"/>
        <v>#N/A</v>
      </c>
      <c r="AJ57" s="135" t="e">
        <f t="shared" si="12"/>
        <v>#N/A</v>
      </c>
      <c r="AK57" s="135" t="e">
        <f t="shared" si="6"/>
        <v>#N/A</v>
      </c>
      <c r="AL57" s="136" t="e">
        <f>((25+19*VLOOKUP($G$22,Daten!$P$43:$R$45,3,FALSE))*(Schwimmbadbilanz!AK57-Schwimmbadbilanz!AI57))/3.6</f>
        <v>#N/A</v>
      </c>
      <c r="AM57" s="137" t="e">
        <f t="shared" si="13"/>
        <v>#N/A</v>
      </c>
      <c r="AN57" s="138" t="e">
        <f>IF($C$18=Daten!$P$29,(25+19*Daten!$R$46)*(VLOOKUP($B$44,Daten!$P$5:$R$19,2,FALSE)-VLOOKUP(ROUND($D$44,0),Daten!$S$5:$U$45,2,FALSE))*VLOOKUP($B$44,Daten!$P$5:$R$19,3,FALSE),(25+19*VLOOKUP($G$22,Daten!$P$43:$R$46,3,FALSE))*(VLOOKUP($B$44,Daten!$P$5:$R$19,2,FALSE)-VLOOKUP(ROUND(N57,0),Daten!$S$5:$U$45,3,FALSE))*VLOOKUP($B$44,Daten!$P$5:$R$19,3,FALSE))</f>
        <v>#N/A</v>
      </c>
      <c r="AO57" s="139" t="e">
        <f t="shared" si="14"/>
        <v>#N/A</v>
      </c>
      <c r="AP57" s="109"/>
      <c r="AQ57" s="109"/>
      <c r="AW57" s="140"/>
    </row>
    <row r="58" spans="1:52" x14ac:dyDescent="0.3">
      <c r="A58" s="260" t="str">
        <f t="shared" si="7"/>
        <v/>
      </c>
      <c r="B58" s="260"/>
      <c r="C58" s="122">
        <f t="shared" si="15"/>
        <v>0</v>
      </c>
      <c r="D58" s="123">
        <f>IF(ISNA(IF($C$18=Daten!$P$29,4.07*($B$44-$D$44),VLOOKUP($G$22,Daten!$P$43:$Q$45,2,FALSE)*($B$44-N58))*S58),0,IF($C$18=Daten!$P$29,4.07*($B$44-$D$44),VLOOKUP($G$22,Daten!$P$43:$Q$45,2,FALSE)*($B$44-N58))*S58)</f>
        <v>0</v>
      </c>
      <c r="E58" s="123">
        <f>IF(ISNA(IF($C$18=Daten!$P$29,IF($D$44&gt;$B$44,0,5.56*($B$44-$D$44)),5.56*($B$44-N58))*S58),0,IF($C$18=Daten!$P$29,IF($D$44&gt;$B$44,0,5.56*($B$44-$D$44)),5.56*($B$44-N58))*S58)</f>
        <v>0</v>
      </c>
      <c r="F58" s="123">
        <f>IF(ISNA((((($D$21+$D$22)*2*$D$23*'U-Wert'!$E$27*Daten!$Y$22)*($B$44-IF($C$24=Daten!$P$52,$D$24,N58)))/($C$21*$C$22))*S58+(((($D$21*$D$22)*'U-Wert'!$E$46*Daten!$Y$29)*($B$44-IF($C$25=Daten!$P$52,$D$25,N58)))/($C$21*$C$22))*S58),0,(((($D$21+$D$22)*2*$D$23*'U-Wert'!$E$27*Daten!$Y$22)*($B$44-IF($C$24=Daten!$P$52,$D$24,N58)))/($C$21*$C$22))*S58+(((($D$21*$D$22)*'U-Wert'!$E$46*Daten!$Y$29)*($B$44-IF($C$25=Daten!$P$52,$D$25,N58)))/($C$21*$C$22))*S58)</f>
        <v>0</v>
      </c>
      <c r="G58" s="81">
        <f>IF(ISNA(IF($C$18=Daten!$P$29,0,X58)*S58),0,IF($C$18=Daten!$P$29,0,X58)*S58)</f>
        <v>0</v>
      </c>
      <c r="H58" s="124">
        <f>IF(IF($G$44=Daten!$P$32,(SUM(C58:E58)*0.15*(24-$H$44)*O58+SUM(C58:E58)*1*$H$44*O58+(F58-G58*0.7)*24*O58)/1000*$A$44,(SUM(C58:E58)*24*O58+(F58-G58*0.7)*24*O58)/1000*$A$44)&lt;0,0,IF($G$44=Daten!$P$32,(SUM(C58:E58)*0.15*(24-$H$44)*O58+SUM(C58:E58)*1*$H$44*O58+(F58-G58*0.7)*24*O58)/1000*$A$44,(SUM(C58:E58)*24*O58+(F58-G58*0.7)*24*O58)/1000*$A$44))</f>
        <v>0</v>
      </c>
      <c r="J58" s="125"/>
      <c r="K58" s="126"/>
      <c r="L58" s="126"/>
      <c r="M58" s="127" t="s">
        <v>80</v>
      </c>
      <c r="N58" s="128" t="e">
        <f>VLOOKUP(Schwimmbadbilanz!$G$23,Daten!$A$5:$N$46,12,FALSE)</f>
        <v>#N/A</v>
      </c>
      <c r="O58" s="83">
        <v>30</v>
      </c>
      <c r="P58" s="129" t="s">
        <v>80</v>
      </c>
      <c r="Q58" s="108">
        <v>11</v>
      </c>
      <c r="R58" s="91"/>
      <c r="S58" s="91" t="e">
        <f>IF($C$18=Daten!$P$29,1,IF(AND(Q58&gt;=$R$48,Q58&lt;=$R$49),1,0))</f>
        <v>#N/A</v>
      </c>
      <c r="T58" s="83" t="e">
        <f t="shared" si="2"/>
        <v>#N/A</v>
      </c>
      <c r="U58" s="129" t="s">
        <v>80</v>
      </c>
      <c r="V58" s="82" t="e">
        <f>VLOOKUP($G$23,Daten!$A$92:$M$132,W58,FALSE)/3.6</f>
        <v>#N/A</v>
      </c>
      <c r="W58" s="91">
        <v>12</v>
      </c>
      <c r="X58" s="123" t="e">
        <f t="shared" si="8"/>
        <v>#N/A</v>
      </c>
      <c r="Y58" s="91">
        <v>0.7</v>
      </c>
      <c r="Z58" s="123" t="e">
        <f t="shared" si="9"/>
        <v>#N/A</v>
      </c>
      <c r="AA58" s="129" t="s">
        <v>80</v>
      </c>
      <c r="AB58" s="130">
        <f t="shared" si="10"/>
        <v>3.7730470054291813E-3</v>
      </c>
      <c r="AC58" s="130" t="e">
        <f>IF($C$18=Daten!$P$29,622*($D$26*(6.1078*EXP(17.08085*$D$44/(234.175+$D$44)))/100)/(1013-($D$26*(6.1078*EXP(17.08085*$D$44/(234.175+$D$44)))/100))/1000,622*(AE58*(6.1078*EXP(17.08085*N58/(234.175+N58)))/100)/(1013-(AE58*(6.1078*EXP(17.08085*N58/(234.175+N58)))/100))/1000)</f>
        <v>#N/A</v>
      </c>
      <c r="AD58" s="131">
        <f t="shared" si="11"/>
        <v>2495.9630326349061</v>
      </c>
      <c r="AE58" s="131" t="e">
        <f t="shared" si="3"/>
        <v>#N/A</v>
      </c>
      <c r="AF58" s="132" t="e">
        <f>(25+19*IF($C$18=Daten!$P$29,Daten!$R$46,VLOOKUP($G$22,Daten!$P$43:$R$45,3,FALSE)))*((($AC$62+AB58*$AC$63)*$B$44+AB58*AD58)-(($AC$62+AC58*$AC$63)*IF($C$18=Daten!$P$29,$D$44,N58)+AC58*AD58))/3.6</f>
        <v>#N/A</v>
      </c>
      <c r="AG58" s="133" t="e">
        <f>VLOOKUP($G$23,Daten!$A$49:$M$89,W58,FALSE)</f>
        <v>#N/A</v>
      </c>
      <c r="AH58" s="82" t="e">
        <f t="shared" si="4"/>
        <v>#N/A</v>
      </c>
      <c r="AI58" s="134" t="e">
        <f t="shared" si="5"/>
        <v>#N/A</v>
      </c>
      <c r="AJ58" s="135" t="e">
        <f t="shared" si="12"/>
        <v>#N/A</v>
      </c>
      <c r="AK58" s="135" t="e">
        <f t="shared" si="6"/>
        <v>#N/A</v>
      </c>
      <c r="AL58" s="136" t="e">
        <f>((25+19*VLOOKUP($G$22,Daten!$P$43:$R$45,3,FALSE))*(Schwimmbadbilanz!AK58-Schwimmbadbilanz!AI58))/3.6</f>
        <v>#N/A</v>
      </c>
      <c r="AM58" s="137" t="e">
        <f t="shared" si="13"/>
        <v>#N/A</v>
      </c>
      <c r="AN58" s="138" t="e">
        <f>IF($C$18=Daten!$P$29,(25+19*Daten!$R$46)*(VLOOKUP($B$44,Daten!$P$5:$R$19,2,FALSE)-VLOOKUP(ROUND($D$44,0),Daten!$S$5:$U$45,2,FALSE))*VLOOKUP($B$44,Daten!$P$5:$R$19,3,FALSE),(25+19*VLOOKUP($G$22,Daten!$P$43:$R$46,3,FALSE))*(VLOOKUP($B$44,Daten!$P$5:$R$19,2,FALSE)-VLOOKUP(ROUND(N58,0),Daten!$S$5:$U$45,3,FALSE))*VLOOKUP($B$44,Daten!$P$5:$R$19,3,FALSE))</f>
        <v>#N/A</v>
      </c>
      <c r="AO58" s="139" t="e">
        <f t="shared" si="14"/>
        <v>#N/A</v>
      </c>
      <c r="AP58" s="109"/>
      <c r="AQ58" s="109"/>
      <c r="AW58" s="140"/>
    </row>
    <row r="59" spans="1:52" x14ac:dyDescent="0.3">
      <c r="A59" s="260" t="str">
        <f t="shared" si="7"/>
        <v/>
      </c>
      <c r="B59" s="260"/>
      <c r="C59" s="122">
        <f t="shared" si="15"/>
        <v>0</v>
      </c>
      <c r="D59" s="123">
        <f>IF(ISNA(IF($C$18=Daten!$P$29,4.07*($B$44-$D$44),VLOOKUP($G$22,Daten!$P$43:$Q$45,2,FALSE)*($B$44-N59))*S59),0,IF($C$18=Daten!$P$29,4.07*($B$44-$D$44),VLOOKUP($G$22,Daten!$P$43:$Q$45,2,FALSE)*($B$44-N59))*S59)</f>
        <v>0</v>
      </c>
      <c r="E59" s="123">
        <f>IF(ISNA(IF($C$18=Daten!$P$29,IF($D$44&gt;$B$44,0,5.56*($B$44-$D$44)),5.56*($B$44-N59))*S59),0,IF($C$18=Daten!$P$29,IF($D$44&gt;$B$44,0,5.56*($B$44-$D$44)),5.56*($B$44-N59))*S59)</f>
        <v>0</v>
      </c>
      <c r="F59" s="123">
        <f>IF(ISNA((((($D$21+$D$22)*2*$D$23*'U-Wert'!$E$27*Daten!$Y$22)*($B$44-IF($C$24=Daten!$P$52,$D$24,N59)))/($C$21*$C$22))*S59+(((($D$21*$D$22)*'U-Wert'!$E$46*Daten!$Y$29)*($B$44-IF($C$25=Daten!$P$52,$D$25,N59)))/($C$21*$C$22))*S59),0,(((($D$21+$D$22)*2*$D$23*'U-Wert'!$E$27*Daten!$Y$22)*($B$44-IF($C$24=Daten!$P$52,$D$24,N59)))/($C$21*$C$22))*S59+(((($D$21*$D$22)*'U-Wert'!$E$46*Daten!$Y$29)*($B$44-IF($C$25=Daten!$P$52,$D$25,N59)))/($C$21*$C$22))*S59)</f>
        <v>0</v>
      </c>
      <c r="G59" s="81">
        <f>IF(ISNA(IF($C$18=Daten!$P$29,0,X59)*S59),0,IF($C$18=Daten!$P$29,0,X59)*S59)</f>
        <v>0</v>
      </c>
      <c r="H59" s="124">
        <f>IF(IF($G$44=Daten!$P$32,(SUM(C59:E59)*0.15*(24-$H$44)*O59+SUM(C59:E59)*1*$H$44*O59+(F59-G59*0.7)*24*O59)/1000*$A$44,(SUM(C59:E59)*24*O59+(F59-G59*0.7)*24*O59)/1000*$A$44)&lt;0,0,IF($G$44=Daten!$P$32,(SUM(C59:E59)*0.15*(24-$H$44)*O59+SUM(C59:E59)*1*$H$44*O59+(F59-G59*0.7)*24*O59)/1000*$A$44,(SUM(C59:E59)*24*O59+(F59-G59*0.7)*24*O59)/1000*$A$44))</f>
        <v>0</v>
      </c>
      <c r="J59" s="125"/>
      <c r="K59" s="126"/>
      <c r="L59" s="126"/>
      <c r="M59" s="127" t="s">
        <v>81</v>
      </c>
      <c r="N59" s="145" t="e">
        <f>VLOOKUP(Schwimmbadbilanz!$G$23,Daten!$A$5:$N$46,13,FALSE)</f>
        <v>#N/A</v>
      </c>
      <c r="O59" s="146">
        <v>31</v>
      </c>
      <c r="P59" s="129" t="s">
        <v>81</v>
      </c>
      <c r="Q59" s="147">
        <v>12</v>
      </c>
      <c r="R59" s="148"/>
      <c r="S59" s="148" t="e">
        <f>IF($C$18=Daten!$P$29,1,IF(AND(Q59&gt;=$R$48,Q59&lt;=$R$49),1,0))</f>
        <v>#N/A</v>
      </c>
      <c r="T59" s="146" t="e">
        <f t="shared" si="2"/>
        <v>#N/A</v>
      </c>
      <c r="U59" s="129" t="s">
        <v>81</v>
      </c>
      <c r="V59" s="149" t="e">
        <f>VLOOKUP($G$23,Daten!$A$92:$M$132,W59,FALSE)/3.6</f>
        <v>#N/A</v>
      </c>
      <c r="W59" s="148">
        <v>13</v>
      </c>
      <c r="X59" s="150" t="e">
        <f t="shared" si="8"/>
        <v>#N/A</v>
      </c>
      <c r="Y59" s="148">
        <v>0.7</v>
      </c>
      <c r="Z59" s="150" t="e">
        <f t="shared" si="9"/>
        <v>#N/A</v>
      </c>
      <c r="AA59" s="129" t="s">
        <v>81</v>
      </c>
      <c r="AB59" s="130">
        <f t="shared" si="10"/>
        <v>3.7730470054291813E-3</v>
      </c>
      <c r="AC59" s="130" t="e">
        <f>IF($C$18=Daten!$P$29,622*($D$26*(6.1078*EXP(17.08085*$D$44/(234.175+$D$44)))/100)/(1013-($D$26*(6.1078*EXP(17.08085*$D$44/(234.175+$D$44)))/100))/1000,622*(AE59*(6.1078*EXP(17.08085*N59/(234.175+N59)))/100)/(1013-(AE59*(6.1078*EXP(17.08085*N59/(234.175+N59)))/100))/1000)</f>
        <v>#N/A</v>
      </c>
      <c r="AD59" s="131">
        <f t="shared" si="11"/>
        <v>2495.9630326349061</v>
      </c>
      <c r="AE59" s="131" t="e">
        <f t="shared" si="3"/>
        <v>#N/A</v>
      </c>
      <c r="AF59" s="132" t="e">
        <f>(25+19*IF($C$18=Daten!$P$29,Daten!$R$46,VLOOKUP($G$22,Daten!$P$43:$R$45,3,FALSE)))*((($AC$62+AB59*$AC$63)*$B$44+AB59*AD59)-(($AC$62+AC59*$AC$63)*IF($C$18=Daten!$P$29,$D$44,N59)+AC59*AD59))/3.6</f>
        <v>#N/A</v>
      </c>
      <c r="AG59" s="133" t="e">
        <f>VLOOKUP($G$23,Daten!$A$49:$M$89,W59,FALSE)</f>
        <v>#N/A</v>
      </c>
      <c r="AH59" s="82" t="e">
        <f t="shared" si="4"/>
        <v>#N/A</v>
      </c>
      <c r="AI59" s="134" t="e">
        <f t="shared" si="5"/>
        <v>#N/A</v>
      </c>
      <c r="AJ59" s="135" t="e">
        <f t="shared" si="12"/>
        <v>#N/A</v>
      </c>
      <c r="AK59" s="135" t="e">
        <f t="shared" si="6"/>
        <v>#N/A</v>
      </c>
      <c r="AL59" s="136" t="e">
        <f>((25+19*VLOOKUP($G$22,Daten!$P$43:$R$45,3,FALSE))*(Schwimmbadbilanz!AK59-Schwimmbadbilanz!AI59))/3.6</f>
        <v>#N/A</v>
      </c>
      <c r="AM59" s="137" t="e">
        <f t="shared" si="13"/>
        <v>#N/A</v>
      </c>
      <c r="AN59" s="138" t="e">
        <f>IF($C$18=Daten!$P$29,(25+19*Daten!$R$46)*(VLOOKUP($B$44,Daten!$P$5:$R$19,2,FALSE)-VLOOKUP(ROUND($D$44,0),Daten!$S$5:$U$45,2,FALSE))*VLOOKUP($B$44,Daten!$P$5:$R$19,3,FALSE),(25+19*VLOOKUP($G$22,Daten!$P$43:$R$46,3,FALSE))*(VLOOKUP($B$44,Daten!$P$5:$R$19,2,FALSE)-VLOOKUP(ROUND(N59,0),Daten!$S$5:$U$45,3,FALSE))*VLOOKUP($B$44,Daten!$P$5:$R$19,3,FALSE))</f>
        <v>#N/A</v>
      </c>
      <c r="AO59" s="139" t="e">
        <f t="shared" si="14"/>
        <v>#N/A</v>
      </c>
      <c r="AP59" s="109"/>
      <c r="AQ59" s="109"/>
      <c r="AW59" s="140"/>
    </row>
    <row r="60" spans="1:52" x14ac:dyDescent="0.3">
      <c r="A60" s="261" t="s">
        <v>85</v>
      </c>
      <c r="B60" s="261"/>
      <c r="C60" s="151">
        <f ca="1">IF(ISNA(AVERAGE(INDIRECT("C"&amp;V63&amp;":"&amp;"C"&amp;V64))),0,AVERAGE(INDIRECT("C"&amp;V63&amp;":"&amp;"C"&amp;V64)))</f>
        <v>0</v>
      </c>
      <c r="D60" s="152">
        <f ca="1">IF(ISNA(AVERAGE(INDIRECT("D"&amp;V63&amp;":"&amp;"D"&amp;V64))),0,AVERAGE(INDIRECT("D"&amp;V63&amp;":"&amp;"D"&amp;V64)))</f>
        <v>0</v>
      </c>
      <c r="E60" s="152">
        <f ca="1">IF(ISNA(AVERAGE(INDIRECT("e"&amp;V63&amp;":"&amp;"e"&amp;V64))),0,AVERAGE(INDIRECT("e"&amp;V63&amp;":"&amp;"e"&amp;V64)))</f>
        <v>0</v>
      </c>
      <c r="F60" s="152">
        <f ca="1">IF(ISNA(AVERAGE(INDIRECT("f"&amp;V63&amp;":"&amp;"f"&amp;V64))),0,AVERAGE(INDIRECT("f"&amp;V63&amp;":"&amp;"f"&amp;V64)))</f>
        <v>0</v>
      </c>
      <c r="G60" s="153">
        <f ca="1">IF(ISNA(AVERAGE(INDIRECT("g"&amp;V63&amp;":"&amp;"g"&amp;V64))),0,AVERAGE(INDIRECT("g"&amp;V63&amp;":"&amp;"g"&amp;V64)))</f>
        <v>0</v>
      </c>
      <c r="H60" s="154">
        <f ca="1">IF(ISNA(AVERAGE(INDIRECT("h"&amp;V63&amp;":"&amp;"h"&amp;V64))),0,AVERAGE(INDIRECT("h"&amp;V63&amp;":"&amp;"h"&amp;V64)))</f>
        <v>0</v>
      </c>
      <c r="M60" s="83"/>
      <c r="N60" s="128" t="e">
        <f>VLOOKUP(Schwimmbadbilanz!$G$23,Daten!$A$5:$N$46,14,FALSE)</f>
        <v>#N/A</v>
      </c>
      <c r="O60" s="83">
        <f>SUM(O48:O59)</f>
        <v>365</v>
      </c>
      <c r="Q60" s="147"/>
      <c r="R60" s="148"/>
      <c r="S60" s="148" t="e">
        <f>SUM(S48:S59)</f>
        <v>#N/A</v>
      </c>
      <c r="T60" s="146"/>
      <c r="AA60" s="108"/>
      <c r="AB60" s="130"/>
      <c r="AC60" s="91"/>
      <c r="AD60" s="91"/>
      <c r="AE60" s="91"/>
      <c r="AF60" s="91"/>
      <c r="AG60" s="83"/>
      <c r="AH60" s="155" t="e">
        <f>AVERAGE(AH48:AH59)</f>
        <v>#N/A</v>
      </c>
      <c r="AI60" s="91"/>
      <c r="AJ60" s="91"/>
      <c r="AK60" s="91"/>
      <c r="AL60" s="91"/>
      <c r="AM60" s="83"/>
      <c r="AN60" s="156"/>
      <c r="AO60" s="111"/>
      <c r="AP60" s="109"/>
      <c r="AQ60" s="109"/>
    </row>
    <row r="61" spans="1:52" ht="15" thickBot="1" x14ac:dyDescent="0.35">
      <c r="A61" s="250" t="str">
        <f>CONCATENATE("Energieaufwand für einmaliges Aufheizen des Schwimmbadwassers von ",F44," auf ",B44," °C:")</f>
        <v>Energieaufwand für einmaliges Aufheizen des Schwimmbadwassers von 10 auf  °C:</v>
      </c>
      <c r="B61" s="250"/>
      <c r="C61" s="250"/>
      <c r="D61" s="250"/>
      <c r="E61" s="250"/>
      <c r="F61" s="250"/>
      <c r="G61" s="251"/>
      <c r="H61" s="124">
        <f>IF(B44="",0,4.182*(B44-F44)*C21*C22*C23*1000/3600)</f>
        <v>0</v>
      </c>
      <c r="M61" s="83"/>
      <c r="N61" s="128"/>
      <c r="O61" s="83"/>
      <c r="Q61" s="91"/>
      <c r="R61" s="91"/>
      <c r="S61" s="91"/>
      <c r="T61" s="91"/>
      <c r="AA61" s="108"/>
      <c r="AB61" s="130"/>
      <c r="AC61" s="91"/>
      <c r="AD61" s="91"/>
      <c r="AE61" s="91"/>
      <c r="AF61" s="91"/>
      <c r="AG61" s="83"/>
      <c r="AH61" s="155"/>
      <c r="AI61" s="91"/>
      <c r="AJ61" s="91"/>
      <c r="AK61" s="91"/>
      <c r="AL61" s="91"/>
      <c r="AM61" s="83"/>
      <c r="AN61" s="156"/>
      <c r="AO61" s="111"/>
      <c r="AP61" s="109"/>
      <c r="AQ61" s="109"/>
    </row>
    <row r="62" spans="1:52" ht="16.2" thickBot="1" x14ac:dyDescent="0.4">
      <c r="A62" s="296" t="str">
        <f>IF($C$18=Daten!$P$29,IF(G44="ja","Jahresenergiebedarf mit Abdeckung [kWh/a]:","Jahresenergiebedarf ohne Abdeckung [kWh/a]:"),CONCATENATE(IF(G44="ja",CONCATENATE("Jahresenergiebedarf mit Abdeckung (",F21," bis ",H21,") [kWh/a]:"),CONCATENATE("Jahresenergiebedarf ohne Abdeckung (",F21," bis ",H21,") [kWh/a]:"))))</f>
        <v>Jahresenergiebedarf ohne Abdeckung ( bis ) [kWh/a]:</v>
      </c>
      <c r="B62" s="296"/>
      <c r="C62" s="296"/>
      <c r="D62" s="296"/>
      <c r="E62" s="296"/>
      <c r="F62" s="296"/>
      <c r="G62" s="297"/>
      <c r="H62" s="157">
        <f>SUM(H48:H59)+H61</f>
        <v>0</v>
      </c>
      <c r="L62" s="97"/>
      <c r="M62" s="83"/>
      <c r="N62" s="158" t="e">
        <f>MAX(N48:N59)</f>
        <v>#N/A</v>
      </c>
      <c r="O62" s="81"/>
      <c r="S62" s="143"/>
      <c r="AA62" s="108"/>
      <c r="AB62" s="91" t="s">
        <v>334</v>
      </c>
      <c r="AC62" s="142">
        <v>1.0049999999999999</v>
      </c>
      <c r="AD62" s="91" t="s">
        <v>333</v>
      </c>
      <c r="AE62" s="91"/>
      <c r="AF62" s="91"/>
      <c r="AG62" s="83"/>
      <c r="AH62" s="108"/>
      <c r="AI62" s="91"/>
      <c r="AJ62" s="91"/>
      <c r="AK62" s="91"/>
      <c r="AL62" s="91"/>
      <c r="AM62" s="83"/>
      <c r="AN62" s="156"/>
      <c r="AO62" s="111"/>
      <c r="AP62" s="109"/>
      <c r="AQ62" s="109"/>
    </row>
    <row r="63" spans="1:52" ht="15.6" x14ac:dyDescent="0.35">
      <c r="B63" s="84"/>
      <c r="C63" s="84"/>
      <c r="M63" s="83"/>
      <c r="N63" s="145" t="e">
        <f>AVERAGE(INDEX(N48:N59,R48):INDEX(N48:N59,R49))</f>
        <v>#N/A</v>
      </c>
      <c r="O63" s="146" t="s">
        <v>271</v>
      </c>
      <c r="Q63" s="252" t="s">
        <v>424</v>
      </c>
      <c r="R63" s="252"/>
      <c r="S63" s="252"/>
      <c r="T63" s="252"/>
      <c r="U63" s="252"/>
      <c r="V63" s="63" t="e">
        <f>IF(C18=Daten!$P$29,48,47+R48)</f>
        <v>#N/A</v>
      </c>
      <c r="AA63" s="108"/>
      <c r="AB63" s="91" t="s">
        <v>335</v>
      </c>
      <c r="AC63" s="144">
        <v>1.86</v>
      </c>
      <c r="AD63" s="91" t="s">
        <v>333</v>
      </c>
      <c r="AE63" s="91"/>
      <c r="AF63" s="91"/>
      <c r="AG63" s="83"/>
      <c r="AH63" s="108"/>
      <c r="AI63" s="91"/>
      <c r="AJ63" s="159" t="s">
        <v>319</v>
      </c>
      <c r="AK63" s="123">
        <f>IF(B44&lt;0,610.5*EXP(21.875*B44/(265.5+B44)),610.78*EXP(17.08085*B44/(234.175+B44)))</f>
        <v>610.78</v>
      </c>
      <c r="AL63" s="91" t="s">
        <v>320</v>
      </c>
      <c r="AM63" s="83"/>
      <c r="AN63" s="156"/>
      <c r="AO63" s="111"/>
      <c r="AP63" s="109"/>
      <c r="AQ63" s="109"/>
    </row>
    <row r="64" spans="1:52" ht="15.6" x14ac:dyDescent="0.35">
      <c r="A64" s="262" t="s">
        <v>375</v>
      </c>
      <c r="B64" s="262"/>
      <c r="C64" s="262"/>
      <c r="D64" s="262"/>
      <c r="E64" s="299"/>
      <c r="F64" s="299"/>
      <c r="G64" s="299"/>
      <c r="H64" s="299"/>
      <c r="L64" s="126"/>
      <c r="M64" s="160"/>
      <c r="V64" s="63" t="e">
        <f>IF(C18=Daten!$P$29,59,47+R49)</f>
        <v>#N/A</v>
      </c>
      <c r="AA64" s="108"/>
      <c r="AB64" s="91" t="s">
        <v>336</v>
      </c>
      <c r="AC64" s="123">
        <v>2500</v>
      </c>
      <c r="AD64" s="91" t="s">
        <v>332</v>
      </c>
      <c r="AE64" s="91"/>
      <c r="AF64" s="91"/>
      <c r="AG64" s="83"/>
      <c r="AH64" s="108"/>
      <c r="AI64" s="91"/>
      <c r="AJ64" s="159" t="s">
        <v>331</v>
      </c>
      <c r="AK64" s="161">
        <v>1</v>
      </c>
      <c r="AL64" s="91"/>
      <c r="AM64" s="83"/>
      <c r="AN64" s="156"/>
      <c r="AO64" s="111"/>
      <c r="AP64" s="109"/>
      <c r="AQ64" s="109"/>
    </row>
    <row r="65" spans="1:43" ht="15" thickBot="1" x14ac:dyDescent="0.35">
      <c r="A65" s="262" t="str">
        <f>IF(ISNA(IF(Daten!U119&gt;9,"Jahresarbeitszahl der Wärmepumpe:","Nutzungsgrad des Wärmeerzeugers:")),"",IF(Daten!U119&gt;9,"Jahresarbeitszahl der Wärmepumpe:","Nutzungsgrad des Wärmeerzeugers:"))</f>
        <v/>
      </c>
      <c r="B65" s="262"/>
      <c r="C65" s="262"/>
      <c r="D65" s="262"/>
      <c r="E65" s="249">
        <f>IF(ISNA(IF(Daten!U119&gt;9,"",VLOOKUP($E$64,Daten!$P$102:$T$118,2,FALSE))),0,IF(Daten!U119&gt;9,"",VLOOKUP($E$64,Daten!$P$102:$T$118,2,FALSE)))</f>
        <v>0</v>
      </c>
      <c r="F65" s="249"/>
      <c r="G65" s="279"/>
      <c r="H65" s="279"/>
      <c r="I65" s="94">
        <f>IF(ISNA(VLOOKUP(E64,Daten!$P$103:$T$118,4,FALSE)),0,VLOOKUP(E64,Daten!$P$103:$T$118,4,FALSE))</f>
        <v>0</v>
      </c>
      <c r="J65" s="95">
        <f>IF(OR(ISNA(IF(Daten!U119&lt;10,H62/Schwimmbadbilanz!E65*I65,H62/G65*I65)),ISERR(IF(Daten!U119&lt;10,H62/Schwimmbadbilanz!E65*I65,H62/G65*I65))),0,IF(Daten!U119&lt;10,H62/Schwimmbadbilanz!E65*I65,H62/G65*I65))</f>
        <v>0</v>
      </c>
      <c r="K65" s="96" t="s">
        <v>3</v>
      </c>
      <c r="L65" s="126"/>
      <c r="M65" s="160"/>
      <c r="O65" s="160"/>
      <c r="AA65" s="147"/>
      <c r="AB65" s="148"/>
      <c r="AC65" s="150"/>
      <c r="AD65" s="148"/>
      <c r="AE65" s="148"/>
      <c r="AF65" s="148"/>
      <c r="AG65" s="146"/>
      <c r="AH65" s="147"/>
      <c r="AI65" s="162"/>
      <c r="AJ65" s="162" t="s">
        <v>425</v>
      </c>
      <c r="AK65" s="150">
        <v>101300</v>
      </c>
      <c r="AL65" s="148" t="s">
        <v>320</v>
      </c>
      <c r="AM65" s="146"/>
      <c r="AN65" s="163"/>
      <c r="AO65" s="164"/>
      <c r="AP65" s="109"/>
      <c r="AQ65" s="109"/>
    </row>
    <row r="66" spans="1:43" ht="19.8" x14ac:dyDescent="0.3">
      <c r="A66" s="269" t="s">
        <v>377</v>
      </c>
      <c r="B66" s="269"/>
      <c r="C66" s="269"/>
      <c r="D66" s="269"/>
      <c r="E66" s="269"/>
      <c r="F66" s="269"/>
      <c r="G66" s="269"/>
      <c r="H66" s="75"/>
      <c r="I66" s="291" t="s">
        <v>12</v>
      </c>
      <c r="J66" s="292" t="s">
        <v>2</v>
      </c>
      <c r="K66" s="292"/>
      <c r="L66" s="76"/>
    </row>
    <row r="67" spans="1:43" x14ac:dyDescent="0.3">
      <c r="I67" s="291"/>
    </row>
    <row r="68" spans="1:43" ht="102.75" customHeight="1" x14ac:dyDescent="0.3">
      <c r="A68" s="254" t="s">
        <v>459</v>
      </c>
      <c r="B68" s="254"/>
      <c r="C68" s="254"/>
      <c r="D68" s="254"/>
      <c r="E68" s="254"/>
      <c r="F68" s="254"/>
      <c r="G68" s="254"/>
      <c r="H68" s="254"/>
      <c r="I68" s="291"/>
      <c r="N68" s="165"/>
    </row>
    <row r="69" spans="1:43" x14ac:dyDescent="0.3">
      <c r="A69" s="84"/>
      <c r="B69" s="84"/>
      <c r="C69" s="84"/>
      <c r="D69" s="84"/>
      <c r="E69" s="84"/>
      <c r="F69" s="84"/>
    </row>
    <row r="70" spans="1:43" x14ac:dyDescent="0.3">
      <c r="A70" s="252" t="s">
        <v>458</v>
      </c>
      <c r="B70" s="252"/>
      <c r="C70" s="252"/>
      <c r="D70" s="252"/>
      <c r="E70" s="252"/>
      <c r="F70" s="252"/>
      <c r="G70" s="166">
        <f>J65+J39</f>
        <v>0</v>
      </c>
      <c r="H70" s="63" t="s">
        <v>3</v>
      </c>
      <c r="I70" s="94">
        <v>1</v>
      </c>
      <c r="J70" s="160"/>
    </row>
    <row r="71" spans="1:43" ht="15.6" x14ac:dyDescent="0.35">
      <c r="A71" s="84" t="s">
        <v>381</v>
      </c>
      <c r="B71" s="167"/>
      <c r="C71" s="84" t="s">
        <v>382</v>
      </c>
      <c r="D71" s="167"/>
      <c r="E71" s="265" t="s">
        <v>383</v>
      </c>
      <c r="F71" s="265"/>
      <c r="G71" s="166">
        <f>B71*D71</f>
        <v>0</v>
      </c>
      <c r="H71" s="63" t="s">
        <v>3</v>
      </c>
      <c r="I71" s="94">
        <v>2</v>
      </c>
      <c r="J71" s="160"/>
    </row>
    <row r="72" spans="1:43" ht="16.2" x14ac:dyDescent="0.3">
      <c r="A72" s="168" t="s">
        <v>384</v>
      </c>
      <c r="B72" s="169"/>
      <c r="C72" s="168" t="s">
        <v>385</v>
      </c>
      <c r="D72" s="169"/>
      <c r="E72" s="263" t="s">
        <v>417</v>
      </c>
      <c r="F72" s="263"/>
      <c r="G72" s="170">
        <f>B72*D72</f>
        <v>0</v>
      </c>
      <c r="H72" s="171" t="s">
        <v>3</v>
      </c>
      <c r="I72" s="94">
        <v>1</v>
      </c>
      <c r="J72" s="160"/>
    </row>
    <row r="73" spans="1:43" ht="15" thickBot="1" x14ac:dyDescent="0.35">
      <c r="A73" s="264" t="s">
        <v>387</v>
      </c>
      <c r="B73" s="264"/>
      <c r="C73" s="264"/>
      <c r="D73" s="264"/>
      <c r="E73" s="264"/>
      <c r="F73" s="264"/>
      <c r="G73" s="172">
        <f>IF(ISERR((G71*I71+G72*I72)/(G70*I70)),0,(G71*I71+G72*I72)/(G70*I70))</f>
        <v>0</v>
      </c>
      <c r="J73" s="298" t="str">
        <f>IF(OR(B71&lt;&gt;"",B72&lt;&gt;""),IF(G73&gt;=0.5,"erfüllt","nicht erfüllt"),"")</f>
        <v/>
      </c>
      <c r="K73" s="298"/>
    </row>
    <row r="75" spans="1:43" x14ac:dyDescent="0.3">
      <c r="A75" s="266" t="s">
        <v>456</v>
      </c>
      <c r="B75" s="266"/>
      <c r="C75" s="266"/>
      <c r="D75" s="266"/>
      <c r="E75" s="266"/>
      <c r="F75" s="266"/>
      <c r="G75" s="106"/>
    </row>
    <row r="76" spans="1:43" x14ac:dyDescent="0.3">
      <c r="A76" s="252" t="s">
        <v>411</v>
      </c>
      <c r="B76" s="252"/>
      <c r="C76" s="252"/>
      <c r="D76" s="252"/>
      <c r="E76" s="252"/>
      <c r="F76" s="252"/>
      <c r="G76" s="106"/>
      <c r="O76" s="63" t="s">
        <v>449</v>
      </c>
      <c r="P76" s="125">
        <f>E86*H16/Daten!Q103*Daten!S103+G83*H16/Daten!R103*Daten!S103</f>
        <v>0</v>
      </c>
    </row>
    <row r="77" spans="1:43" x14ac:dyDescent="0.3">
      <c r="A77" s="252" t="s">
        <v>412</v>
      </c>
      <c r="B77" s="252"/>
      <c r="C77" s="252"/>
      <c r="D77" s="252"/>
      <c r="E77" s="252"/>
      <c r="F77" s="252"/>
      <c r="G77" s="106"/>
      <c r="O77" s="63" t="s">
        <v>422</v>
      </c>
      <c r="P77" s="125">
        <f>G87*H16</f>
        <v>0</v>
      </c>
    </row>
    <row r="78" spans="1:43" ht="15" thickBot="1" x14ac:dyDescent="0.35">
      <c r="A78" s="84"/>
      <c r="B78" s="84"/>
      <c r="C78" s="84"/>
      <c r="D78" s="84"/>
      <c r="E78" s="84"/>
      <c r="F78" s="84"/>
      <c r="O78" s="173" t="s">
        <v>418</v>
      </c>
      <c r="P78" s="174">
        <f>P76-P77</f>
        <v>0</v>
      </c>
    </row>
    <row r="79" spans="1:43" ht="15" thickBot="1" x14ac:dyDescent="0.35">
      <c r="A79" s="252" t="str">
        <f>IF(C18=Daten!P29,IF(AND(C18=Daten!P29,H26="ja"),"Wärmerückgewinnung Entfeuchtungsbetrieb an das Beckenwasser und an die Raumluft:","Wärmerückgewinnung Entfeuchtungsbetrieb an die Raumluft:"),"")</f>
        <v/>
      </c>
      <c r="B79" s="252"/>
      <c r="C79" s="252"/>
      <c r="D79" s="252"/>
      <c r="E79" s="252"/>
      <c r="F79" s="252"/>
      <c r="G79" s="175"/>
      <c r="H79" s="63" t="s">
        <v>3</v>
      </c>
      <c r="I79" s="94">
        <v>1</v>
      </c>
      <c r="J79" s="176">
        <f>IF(OR(C18=Daten!P30,C18=""),0,-G79*I79)</f>
        <v>0</v>
      </c>
      <c r="K79" s="177" t="s">
        <v>3</v>
      </c>
      <c r="O79" s="63" t="s">
        <v>449</v>
      </c>
      <c r="P79" s="125">
        <f>P76</f>
        <v>0</v>
      </c>
    </row>
    <row r="80" spans="1:43" x14ac:dyDescent="0.3">
      <c r="O80" s="63" t="s">
        <v>422</v>
      </c>
      <c r="P80" s="125">
        <f>G87*H16</f>
        <v>0</v>
      </c>
    </row>
    <row r="81" spans="1:17" ht="16.8" thickBot="1" x14ac:dyDescent="0.35">
      <c r="A81" s="252" t="str">
        <f>IF(G77=Daten!P32,"Heizwärmebedarf Qh nach SIA 380/1 mit effektivem Luftwechsel:","Heizwärmebedarf Qh nach SIA 380/1 mit Standardluftwechsel:")</f>
        <v>Heizwärmebedarf Qh nach SIA 380/1 mit Standardluftwechsel:</v>
      </c>
      <c r="B81" s="252"/>
      <c r="C81" s="252"/>
      <c r="D81" s="252"/>
      <c r="E81" s="252"/>
      <c r="F81" s="252"/>
      <c r="G81" s="67"/>
      <c r="H81" s="63" t="s">
        <v>274</v>
      </c>
      <c r="I81" s="104">
        <v>1</v>
      </c>
      <c r="O81" s="173" t="s">
        <v>419</v>
      </c>
      <c r="P81" s="174">
        <f>P79-P80</f>
        <v>0</v>
      </c>
    </row>
    <row r="82" spans="1:17" ht="16.2" x14ac:dyDescent="0.3">
      <c r="A82" s="252" t="str">
        <f>IF(G77=Daten!P32,"Strombedarf Lüftung gemäss Minergieberechnung:","Keine Lüftung =&gt; Strombedarf Lüftung = 0:")</f>
        <v>Keine Lüftung =&gt; Strombedarf Lüftung = 0:</v>
      </c>
      <c r="B82" s="252"/>
      <c r="C82" s="252"/>
      <c r="D82" s="252"/>
      <c r="E82" s="252"/>
      <c r="F82" s="252"/>
      <c r="G82" s="69"/>
      <c r="H82" s="63" t="s">
        <v>274</v>
      </c>
      <c r="I82" s="104">
        <v>2</v>
      </c>
      <c r="O82" s="63" t="s">
        <v>449</v>
      </c>
      <c r="P82" s="125">
        <f>P76</f>
        <v>0</v>
      </c>
    </row>
    <row r="83" spans="1:17" ht="16.8" x14ac:dyDescent="0.35">
      <c r="A83" s="252" t="s">
        <v>413</v>
      </c>
      <c r="B83" s="252"/>
      <c r="C83" s="252"/>
      <c r="D83" s="252"/>
      <c r="E83" s="252"/>
      <c r="F83" s="252"/>
      <c r="G83" s="104">
        <f>IF(ISNA(VLOOKUP(C16,Daten!P172:Q183,2,FALSE)/3.6),0,VLOOKUP(C16,Daten!P172:Q183,2,FALSE)/3.6)</f>
        <v>0</v>
      </c>
      <c r="H83" s="63" t="s">
        <v>274</v>
      </c>
      <c r="I83" s="104">
        <v>1</v>
      </c>
      <c r="O83" s="63" t="s">
        <v>450</v>
      </c>
      <c r="P83" s="125">
        <f>G86*H16/Daten!Q103*Daten!S103+G83*H16/Daten!R103*Daten!S103+G82*I82*H16</f>
        <v>0</v>
      </c>
    </row>
    <row r="84" spans="1:17" x14ac:dyDescent="0.3">
      <c r="A84" s="265"/>
      <c r="B84" s="265"/>
      <c r="C84" s="265"/>
      <c r="E84" s="71"/>
      <c r="F84" s="71"/>
      <c r="G84" s="71"/>
      <c r="H84" s="71"/>
      <c r="O84" s="63" t="s">
        <v>423</v>
      </c>
      <c r="P84" s="125">
        <f>G71*I71+G72*I72</f>
        <v>0</v>
      </c>
    </row>
    <row r="85" spans="1:17" ht="15" thickBot="1" x14ac:dyDescent="0.35">
      <c r="A85" s="265"/>
      <c r="B85" s="265"/>
      <c r="C85" s="265"/>
      <c r="E85" s="278" t="s">
        <v>410</v>
      </c>
      <c r="F85" s="278"/>
      <c r="G85" s="278" t="s">
        <v>389</v>
      </c>
      <c r="H85" s="278"/>
      <c r="O85" s="173" t="s">
        <v>420</v>
      </c>
      <c r="P85" s="174">
        <f>P82-P83+P84</f>
        <v>0</v>
      </c>
    </row>
    <row r="86" spans="1:17" ht="16.2" x14ac:dyDescent="0.3">
      <c r="A86" s="265" t="s">
        <v>388</v>
      </c>
      <c r="B86" s="265"/>
      <c r="C86" s="265"/>
      <c r="D86" s="84"/>
      <c r="E86" s="67"/>
      <c r="F86" s="63" t="s">
        <v>274</v>
      </c>
      <c r="G86" s="178">
        <f>G81</f>
        <v>0</v>
      </c>
      <c r="H86" s="63" t="s">
        <v>274</v>
      </c>
      <c r="O86" s="63" t="s">
        <v>449</v>
      </c>
      <c r="P86" s="125">
        <f>P76</f>
        <v>0</v>
      </c>
      <c r="Q86" s="125"/>
    </row>
    <row r="87" spans="1:17" ht="16.2" x14ac:dyDescent="0.3">
      <c r="A87" s="263" t="s">
        <v>409</v>
      </c>
      <c r="B87" s="263"/>
      <c r="C87" s="263"/>
      <c r="D87" s="168"/>
      <c r="E87" s="168"/>
      <c r="F87" s="171"/>
      <c r="G87" s="179"/>
      <c r="H87" s="171" t="s">
        <v>274</v>
      </c>
      <c r="O87" s="63" t="s">
        <v>450</v>
      </c>
      <c r="P87" s="180">
        <f>G86*H16/Daten!Q103*Daten!S103+G83*H16/Daten!R103*Daten!S103</f>
        <v>0</v>
      </c>
      <c r="Q87" s="125"/>
    </row>
    <row r="88" spans="1:17" ht="5.25" customHeight="1" x14ac:dyDescent="0.3">
      <c r="A88" s="181"/>
      <c r="G88" s="125"/>
    </row>
    <row r="89" spans="1:17" ht="15" thickBot="1" x14ac:dyDescent="0.35">
      <c r="A89" s="264" t="str">
        <f>IF(G75=Daten!P32,"Deckungsbeitrag Solaranlagen:",IF(AND(G76=Daten!P32,Schwimmbadbilanz!G77=Daten!P32),"Deckungsbeitrag durch Gebäudehülle, Wärmeerzeugung, Lüftungsanlage + Solaranlagen:",IF(AND(G76=Daten!P33,G77=Daten!P32),"Deckungsbeitrag durch Gebäudehülle, Lüftungsanlage + Solaranlagen:",IF(AND(G76=Daten!P32,G77=Daten!P33),"Deckungsbeitrag durch Gebäudehülle, Wärmeerzeugung + Solaranlagen:",IF(AND(G76=Daten!P33,G77=Daten!P33),"Deckungsbeitrag durch Gebäudehülle + Solaranlagen:","")))))</f>
        <v/>
      </c>
      <c r="B89" s="264"/>
      <c r="C89" s="264"/>
      <c r="D89" s="264"/>
      <c r="E89" s="264"/>
      <c r="F89" s="264"/>
      <c r="G89" s="182">
        <f>IF(G75=Daten!P32,G71*I71+G72*I72,IF(AND(G76=Daten!P32,Schwimmbadbilanz!G77=Daten!P32),P78,IF(AND(G76=Daten!P33,G77=Daten!P32),P85,IF(AND(G76=Daten!P32,G77=Daten!P33),P81,IF(AND(G76=Daten!P33,G77=Daten!P33),P90,0)))))</f>
        <v>0</v>
      </c>
      <c r="H89" s="183" t="s">
        <v>3</v>
      </c>
      <c r="I89" s="94">
        <v>1</v>
      </c>
      <c r="J89" s="176">
        <f>IF(ISERR(-G89*I89),0,-G89*I89)</f>
        <v>0</v>
      </c>
      <c r="K89" s="177" t="s">
        <v>3</v>
      </c>
      <c r="L89" s="97"/>
      <c r="O89" s="63" t="s">
        <v>423</v>
      </c>
      <c r="P89" s="125">
        <f>G71*I71+G72*I72</f>
        <v>0</v>
      </c>
      <c r="Q89" s="125"/>
    </row>
    <row r="90" spans="1:17" ht="15" thickBot="1" x14ac:dyDescent="0.35">
      <c r="O90" s="173" t="s">
        <v>421</v>
      </c>
      <c r="P90" s="174">
        <f>P86-P87+P89</f>
        <v>0</v>
      </c>
    </row>
    <row r="91" spans="1:17" ht="30.75" customHeight="1" x14ac:dyDescent="0.3">
      <c r="Q91" s="160"/>
    </row>
    <row r="92" spans="1:17" ht="31.5" customHeight="1" x14ac:dyDescent="0.3">
      <c r="A92" s="274" t="s">
        <v>414</v>
      </c>
      <c r="B92" s="274"/>
      <c r="C92" s="274"/>
      <c r="D92" s="274"/>
      <c r="E92" s="274"/>
      <c r="F92" s="274"/>
      <c r="G92" s="274"/>
      <c r="H92" s="274"/>
      <c r="I92" s="91"/>
      <c r="J92" s="184">
        <f>J39+J65</f>
        <v>0</v>
      </c>
      <c r="K92" s="247" t="s">
        <v>3</v>
      </c>
      <c r="L92" s="97"/>
    </row>
    <row r="93" spans="1:17" ht="31.5" customHeight="1" x14ac:dyDescent="0.3">
      <c r="A93" s="274" t="s">
        <v>448</v>
      </c>
      <c r="B93" s="274"/>
      <c r="C93" s="274"/>
      <c r="D93" s="274"/>
      <c r="E93" s="274"/>
      <c r="F93" s="274"/>
      <c r="G93" s="274"/>
      <c r="H93" s="274"/>
      <c r="I93" s="91"/>
      <c r="J93" s="185">
        <f>J79+J89</f>
        <v>0</v>
      </c>
      <c r="K93" s="248" t="s">
        <v>3</v>
      </c>
      <c r="L93" s="97"/>
    </row>
    <row r="94" spans="1:17" ht="5.25" customHeight="1" x14ac:dyDescent="0.3">
      <c r="A94" s="186"/>
      <c r="B94" s="186"/>
      <c r="C94" s="186"/>
      <c r="D94" s="186"/>
      <c r="E94" s="186"/>
      <c r="F94" s="186"/>
      <c r="G94" s="186"/>
      <c r="H94" s="186"/>
      <c r="I94" s="171"/>
      <c r="J94" s="187"/>
      <c r="K94" s="188"/>
      <c r="L94" s="97"/>
    </row>
    <row r="95" spans="1:17" ht="5.25" customHeight="1" x14ac:dyDescent="0.3">
      <c r="A95" s="189"/>
      <c r="B95" s="189"/>
      <c r="C95" s="189"/>
      <c r="D95" s="189"/>
      <c r="E95" s="189"/>
      <c r="F95" s="189"/>
      <c r="G95" s="189"/>
      <c r="H95" s="189"/>
      <c r="I95" s="91"/>
      <c r="J95" s="185"/>
      <c r="K95" s="97"/>
      <c r="L95" s="97"/>
    </row>
    <row r="96" spans="1:17" ht="31.5" customHeight="1" x14ac:dyDescent="0.3">
      <c r="A96" s="274" t="str">
        <f>IF(J96&lt;=0,"Energiebilanz erfüllt:","Energiebilanz nicht erfüllt:")</f>
        <v>Energiebilanz erfüllt:</v>
      </c>
      <c r="B96" s="274"/>
      <c r="C96" s="274"/>
      <c r="D96" s="274"/>
      <c r="E96" s="274"/>
      <c r="F96" s="274"/>
      <c r="G96" s="274"/>
      <c r="H96" s="274"/>
      <c r="I96" s="91"/>
      <c r="J96" s="184">
        <f>J92+J93</f>
        <v>0</v>
      </c>
      <c r="K96" s="247" t="s">
        <v>3</v>
      </c>
      <c r="L96" s="97"/>
    </row>
    <row r="97" spans="1:12" ht="5.25" customHeight="1" thickBot="1" x14ac:dyDescent="0.35">
      <c r="A97" s="190"/>
      <c r="B97" s="190"/>
      <c r="C97" s="190"/>
      <c r="D97" s="190"/>
      <c r="E97" s="190"/>
      <c r="F97" s="190"/>
      <c r="G97" s="190"/>
      <c r="H97" s="190"/>
      <c r="I97" s="190"/>
      <c r="J97" s="190"/>
      <c r="K97" s="190"/>
    </row>
    <row r="98" spans="1:12" ht="33" customHeight="1" x14ac:dyDescent="0.3"/>
    <row r="99" spans="1:12" ht="59.25" customHeight="1" x14ac:dyDescent="0.3">
      <c r="A99" s="258" t="str">
        <f>IF(AND(J96&lt;=0,J73="erfüllt"),"Der für die Betriebsführung des Schwimmbades notwendige Energiebedarf wird primär durch die Verwendung von Sonnenenergie und sekundär durch verstärkte planerische sowie energietechnische Massnahmen gedeckt.",IF(AND(J96&lt;=0,J73&lt;&gt;"erfüllt"),"Der für die Betriebsführung des Schwimmbades notwendige Energiebedarf wird nicht primär durch die Verwendung von Sonnenenergie gedeckt. Es sind weitere Massnahmen notwendig!",IF(AND(J96&gt;0,J73="erfüllt"),"Der für die Betriebsführung des Schwimmbades notwendige Energiebedarf wird nicht durch verstärkte planerische sowie energietechnische Massnahmen gedeckt. Es sind weitere Massnahmen notwendig!",IF(AND(J96&gt;0,J73&lt;&gt;"erfüllt"),"Der für die Betriebsführung des Schwimmbades notwendige Energiebedarfwird weder primär durch die Verwendung von Sonnenenergie noch sekundär durch verstärkte planerische sowie energietechnische Massnahmen gedeckt. Es sind weitere Massnahmen notwendig!"))))</f>
        <v>Der für die Betriebsführung des Schwimmbades notwendige Energiebedarf wird nicht primär durch die Verwendung von Sonnenenergie gedeckt. Es sind weitere Massnahmen notwendig!</v>
      </c>
      <c r="B99" s="258"/>
      <c r="C99" s="258"/>
      <c r="D99" s="258"/>
      <c r="E99" s="258"/>
      <c r="F99" s="258"/>
      <c r="G99" s="258"/>
      <c r="H99" s="258"/>
      <c r="I99" s="258"/>
      <c r="J99" s="258"/>
      <c r="K99" s="258"/>
      <c r="L99" s="191"/>
    </row>
    <row r="100" spans="1:12" ht="63" customHeight="1" x14ac:dyDescent="0.3"/>
    <row r="101" spans="1:12" ht="38.25" customHeight="1" x14ac:dyDescent="0.3">
      <c r="A101" s="258" t="str">
        <f>IF(G76=Daten!P32,"Die Wärmeerzeugung und der für die Bilanzierungserfüllung notwendige Anteil der Solarthermie- bzw. Photovoltaikanlage  darf NICHT nach Energieeffizienzgesetz gefördert werden!","Der für die Bilanzierungserfüllung notwendige Anteil der Solarthermie- bzw. Photovoltaikanlage darf NICHT nach Energieeffizienzgesetz gefördert werden!")</f>
        <v>Der für die Bilanzierungserfüllung notwendige Anteil der Solarthermie- bzw. Photovoltaikanlage darf NICHT nach Energieeffizienzgesetz gefördert werden!</v>
      </c>
      <c r="B101" s="258"/>
      <c r="C101" s="258"/>
      <c r="D101" s="258"/>
      <c r="E101" s="258"/>
      <c r="F101" s="258"/>
      <c r="G101" s="258"/>
      <c r="H101" s="258"/>
      <c r="I101" s="258"/>
      <c r="J101" s="258"/>
      <c r="K101" s="258"/>
    </row>
  </sheetData>
  <sheetProtection password="D3E3" sheet="1" formatCells="0" formatColumns="0" formatRows="0" insertColumns="0" insertRows="0" insertHyperlinks="0" deleteColumns="0" deleteRows="0" sort="0" autoFilter="0" pivotTables="0"/>
  <mergeCells count="117">
    <mergeCell ref="Q63:U63"/>
    <mergeCell ref="A96:H96"/>
    <mergeCell ref="A62:G62"/>
    <mergeCell ref="A50:B50"/>
    <mergeCell ref="A51:B51"/>
    <mergeCell ref="A52:B52"/>
    <mergeCell ref="A53:B53"/>
    <mergeCell ref="A54:B54"/>
    <mergeCell ref="A55:B55"/>
    <mergeCell ref="A56:B56"/>
    <mergeCell ref="A57:B57"/>
    <mergeCell ref="A89:F89"/>
    <mergeCell ref="A87:C87"/>
    <mergeCell ref="A86:C86"/>
    <mergeCell ref="E85:F85"/>
    <mergeCell ref="G85:H85"/>
    <mergeCell ref="A68:H68"/>
    <mergeCell ref="A93:H93"/>
    <mergeCell ref="A92:H92"/>
    <mergeCell ref="J73:K73"/>
    <mergeCell ref="I66:I68"/>
    <mergeCell ref="J66:K66"/>
    <mergeCell ref="E64:H64"/>
    <mergeCell ref="A65:D65"/>
    <mergeCell ref="AH44:AI45"/>
    <mergeCell ref="AN43:AO44"/>
    <mergeCell ref="N41:AO41"/>
    <mergeCell ref="N42:AO42"/>
    <mergeCell ref="N43:Z43"/>
    <mergeCell ref="AJ44:AK45"/>
    <mergeCell ref="F26:G26"/>
    <mergeCell ref="A30:C30"/>
    <mergeCell ref="A31:C31"/>
    <mergeCell ref="A32:C32"/>
    <mergeCell ref="A33:C33"/>
    <mergeCell ref="N44:Z44"/>
    <mergeCell ref="N45:Z45"/>
    <mergeCell ref="B43:C43"/>
    <mergeCell ref="D43:E43"/>
    <mergeCell ref="A26:C26"/>
    <mergeCell ref="I27:I29"/>
    <mergeCell ref="J27:K27"/>
    <mergeCell ref="A41:H41"/>
    <mergeCell ref="I41:I43"/>
    <mergeCell ref="J41:K41"/>
    <mergeCell ref="AH43:AM43"/>
    <mergeCell ref="A2:K2"/>
    <mergeCell ref="B42:C42"/>
    <mergeCell ref="A66:G66"/>
    <mergeCell ref="F16:G16"/>
    <mergeCell ref="G22:I22"/>
    <mergeCell ref="G23:I23"/>
    <mergeCell ref="H21:I21"/>
    <mergeCell ref="G30:H30"/>
    <mergeCell ref="A34:C34"/>
    <mergeCell ref="A27:G27"/>
    <mergeCell ref="A39:F39"/>
    <mergeCell ref="D42:E42"/>
    <mergeCell ref="A35:C35"/>
    <mergeCell ref="A36:C36"/>
    <mergeCell ref="A37:C37"/>
    <mergeCell ref="A18:B18"/>
    <mergeCell ref="A21:B21"/>
    <mergeCell ref="A22:B22"/>
    <mergeCell ref="C18:D18"/>
    <mergeCell ref="A29:H29"/>
    <mergeCell ref="F20:I20"/>
    <mergeCell ref="A48:B48"/>
    <mergeCell ref="G65:H65"/>
    <mergeCell ref="A24:B24"/>
    <mergeCell ref="A101:K101"/>
    <mergeCell ref="A16:B16"/>
    <mergeCell ref="C16:D16"/>
    <mergeCell ref="A58:B58"/>
    <mergeCell ref="A59:B59"/>
    <mergeCell ref="A60:B60"/>
    <mergeCell ref="A46:H46"/>
    <mergeCell ref="A64:D64"/>
    <mergeCell ref="A99:K99"/>
    <mergeCell ref="B44:C44"/>
    <mergeCell ref="A49:B49"/>
    <mergeCell ref="E72:F72"/>
    <mergeCell ref="A73:F73"/>
    <mergeCell ref="A85:C85"/>
    <mergeCell ref="A84:C84"/>
    <mergeCell ref="A81:F81"/>
    <mergeCell ref="A82:F82"/>
    <mergeCell ref="A83:F83"/>
    <mergeCell ref="A76:F76"/>
    <mergeCell ref="A77:F77"/>
    <mergeCell ref="A75:F75"/>
    <mergeCell ref="A79:F79"/>
    <mergeCell ref="A70:F70"/>
    <mergeCell ref="E71:F71"/>
    <mergeCell ref="A61:G61"/>
    <mergeCell ref="A25:B25"/>
    <mergeCell ref="F24:I24"/>
    <mergeCell ref="F25:I25"/>
    <mergeCell ref="A23:B23"/>
    <mergeCell ref="A4:K4"/>
    <mergeCell ref="B6:C6"/>
    <mergeCell ref="D6:I6"/>
    <mergeCell ref="D7:I7"/>
    <mergeCell ref="D8:I8"/>
    <mergeCell ref="D9:I9"/>
    <mergeCell ref="B7:C7"/>
    <mergeCell ref="B8:C8"/>
    <mergeCell ref="B9:C9"/>
    <mergeCell ref="B11:C11"/>
    <mergeCell ref="B12:C12"/>
    <mergeCell ref="B13:C13"/>
    <mergeCell ref="B14:C14"/>
    <mergeCell ref="D11:I11"/>
    <mergeCell ref="D12:I12"/>
    <mergeCell ref="D13:I13"/>
    <mergeCell ref="D14:I14"/>
    <mergeCell ref="J26:K26"/>
  </mergeCells>
  <phoneticPr fontId="1" type="noConversion"/>
  <conditionalFormatting sqref="F20">
    <cfRule type="expression" dxfId="16" priority="43">
      <formula>$S$60&lt;3</formula>
    </cfRule>
  </conditionalFormatting>
  <conditionalFormatting sqref="E65:F65">
    <cfRule type="expression" dxfId="15" priority="11">
      <formula>$E$65=""</formula>
    </cfRule>
  </conditionalFormatting>
  <conditionalFormatting sqref="A76:G77 A81:I87">
    <cfRule type="expression" dxfId="14" priority="7">
      <formula>$G$75="ja"</formula>
    </cfRule>
  </conditionalFormatting>
  <conditionalFormatting sqref="A99:K99">
    <cfRule type="expression" dxfId="13" priority="5">
      <formula>AND($J$73="erfüllt",$J$96&lt;=0)</formula>
    </cfRule>
  </conditionalFormatting>
  <conditionalFormatting sqref="J73:K73">
    <cfRule type="expression" dxfId="12" priority="2">
      <formula>$J$73="nicht erfüllt"</formula>
    </cfRule>
  </conditionalFormatting>
  <conditionalFormatting sqref="J96:K96">
    <cfRule type="expression" dxfId="11" priority="1">
      <formula>$J$96&lt;=0</formula>
    </cfRule>
  </conditionalFormatting>
  <dataValidations count="3">
    <dataValidation type="decimal" operator="greaterThanOrEqual" allowBlank="1" showInputMessage="1" showErrorMessage="1" errorTitle="Falscher Zahlenwert!" error="Der Wert muss grösser oder gleich 1 sein!" promptTitle="Durchschnittlich Badezeit je Tag" prompt="Geben Sie die durchschnittliche Badezeit je Tag ein. Minimal muss 1h je Tag gewählt werden." sqref="H44">
      <formula1>1</formula1>
    </dataValidation>
    <dataValidation type="decimal" allowBlank="1" showInputMessage="1" showErrorMessage="1" errorTitle="Jahresarbeitszahl" error="Der Wert muss eine Dezimalzahl zwischen 0 und 20 sein!" promptTitle="Jahresarbeitszahl" prompt="Geben Sie hier die Jahresarbeitszahl der Wärmepumpe gemäss Herstellerangaben oder Berechnung (z.B. Minergie WPesti) ein. Berechnung bzw. Datenblätter der Wärmepumpe sind beizulegen." sqref="G65:H65">
      <formula1>0</formula1>
      <formula2>10</formula2>
    </dataValidation>
    <dataValidation type="whole" allowBlank="1" showInputMessage="1" showErrorMessage="1" promptTitle="WRG Entfeuchtungsbetrieb" prompt="Beim Entfeuchtungsbetrieb kann die Wärmerückgewinnung an die Raumluft und an das Beckenwasser als Gutschrift mitblianziert werden. Diese Wärmeenergie ist mit separter beigelegter Berechnung nachzuweisen." sqref="G79">
      <formula1>0</formula1>
      <formula2>500000</formula2>
    </dataValidation>
  </dataValidations>
  <hyperlinks>
    <hyperlink ref="J26:K26" location="'U-Wert'!B8" display="Zur U-Wert Eingabe è"/>
  </hyperlinks>
  <pageMargins left="0.62992125984251968" right="0.62992125984251968" top="0.9055118110236221" bottom="0.59055118110236227" header="0" footer="0.19685039370078741"/>
  <pageSetup paperSize="9" orientation="landscape" r:id="rId1"/>
  <headerFooter differentFirst="1">
    <oddFooter xml:space="preserve">&amp;R&amp;"Calibri,Standard"&amp;8&amp;K00-032Seite &amp;P                &amp;11      </oddFooter>
    <firstHeader>&amp;L&amp;8&amp;G</firstHeader>
    <firstFooter xml:space="preserve">&amp;R&amp;"Calibri,Standard"&amp;8&amp;K00-027&amp;F / &amp;D               Seite &amp;P                </firstFooter>
  </headerFooter>
  <rowBreaks count="3" manualBreakCount="3">
    <brk id="26" max="16383" man="1"/>
    <brk id="40" max="16383" man="1"/>
    <brk id="65" max="16383" man="1"/>
  </rowBreak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19" id="{64568318-4F5F-4BC8-A274-967422AFC161}">
            <xm:f>$C$24=Daten!$P$52</xm:f>
            <x14:dxf>
              <font>
                <color auto="1"/>
              </font>
              <fill>
                <patternFill>
                  <bgColor theme="0" tint="-0.14996795556505021"/>
                </patternFill>
              </fill>
            </x14:dxf>
          </x14:cfRule>
          <xm:sqref>D24</xm:sqref>
        </x14:conditionalFormatting>
        <x14:conditionalFormatting xmlns:xm="http://schemas.microsoft.com/office/excel/2006/main">
          <x14:cfRule type="expression" priority="15" id="{21CC52D8-7666-44BA-B840-12EC49FF25FE}">
            <xm:f>$C$24=Daten!$P$51</xm:f>
            <x14:dxf>
              <font>
                <color auto="1"/>
              </font>
              <fill>
                <patternFill>
                  <bgColor theme="0" tint="-0.14996795556505021"/>
                </patternFill>
              </fill>
            </x14:dxf>
          </x14:cfRule>
          <xm:sqref>F24:I24</xm:sqref>
        </x14:conditionalFormatting>
        <x14:conditionalFormatting xmlns:xm="http://schemas.microsoft.com/office/excel/2006/main">
          <x14:cfRule type="expression" priority="14" id="{0933F25F-E472-460E-BDF4-080AE3E87AE9}">
            <xm:f>$C$25=Daten!$P$51</xm:f>
            <x14:dxf>
              <font>
                <color auto="1"/>
              </font>
              <fill>
                <patternFill>
                  <bgColor theme="0" tint="-0.14996795556505021"/>
                </patternFill>
              </fill>
            </x14:dxf>
          </x14:cfRule>
          <xm:sqref>F25:I25</xm:sqref>
        </x14:conditionalFormatting>
        <x14:conditionalFormatting xmlns:xm="http://schemas.microsoft.com/office/excel/2006/main">
          <x14:cfRule type="expression" priority="44" id="{D66DB20A-7DAB-4B38-8286-BE148AF4F93E}">
            <xm:f>Daten!$U$119&lt;10</xm:f>
            <x14:dxf>
              <font>
                <color theme="0"/>
              </font>
              <fill>
                <patternFill>
                  <bgColor theme="0"/>
                </patternFill>
              </fill>
            </x14:dxf>
          </x14:cfRule>
          <xm:sqref>G65:H65</xm:sqref>
        </x14:conditionalFormatting>
        <x14:conditionalFormatting xmlns:xm="http://schemas.microsoft.com/office/excel/2006/main">
          <x14:cfRule type="expression" priority="45" id="{9AA76731-834A-4FA2-89AE-1961BF645770}">
            <xm:f>$C$18=Daten!$P$29</xm:f>
            <x14:dxf>
              <font>
                <color theme="0"/>
              </font>
            </x14:dxf>
          </x14:cfRule>
          <xm:sqref>F20 F22:G22 F21:H21</xm:sqref>
        </x14:conditionalFormatting>
        <x14:conditionalFormatting xmlns:xm="http://schemas.microsoft.com/office/excel/2006/main">
          <x14:cfRule type="expression" priority="48" id="{5BAF1F6D-3BD6-43F4-95B7-B80F94D8389E}">
            <xm:f>$C$18=Daten!$P$30</xm:f>
            <x14:dxf>
              <fill>
                <patternFill>
                  <bgColor theme="0" tint="-0.14996795556505021"/>
                </patternFill>
              </fill>
            </x14:dxf>
          </x14:cfRule>
          <xm:sqref>F21 G22 H21</xm:sqref>
        </x14:conditionalFormatting>
        <x14:conditionalFormatting xmlns:xm="http://schemas.microsoft.com/office/excel/2006/main">
          <x14:cfRule type="expression" priority="51" id="{AD1AC6C9-770D-480E-B862-C614C43DFACF}">
            <xm:f>$C$18=Daten!$P$29</xm:f>
            <x14:dxf>
              <fill>
                <patternFill>
                  <bgColor theme="0" tint="-0.14996795556505021"/>
                </patternFill>
              </fill>
            </x14:dxf>
          </x14:cfRule>
          <xm:sqref>D44</xm:sqref>
        </x14:conditionalFormatting>
        <x14:conditionalFormatting xmlns:xm="http://schemas.microsoft.com/office/excel/2006/main">
          <x14:cfRule type="expression" priority="52" id="{D550C8FC-284A-45BA-B955-9F681EE7E7C1}">
            <xm:f>$C$18=Daten!$P$29</xm:f>
            <x14:dxf>
              <font>
                <color auto="1"/>
              </font>
              <fill>
                <patternFill>
                  <bgColor theme="0" tint="-0.14996795556505021"/>
                </patternFill>
              </fill>
            </x14:dxf>
          </x14:cfRule>
          <xm:sqref>D26 H26</xm:sqref>
        </x14:conditionalFormatting>
        <x14:conditionalFormatting xmlns:xm="http://schemas.microsoft.com/office/excel/2006/main">
          <x14:cfRule type="expression" priority="54" id="{FAD022E1-AF5C-40C1-BD92-1408FBC44B14}">
            <xm:f>OR($C$18=Daten!$P$30,$C$18="")</xm:f>
            <x14:dxf>
              <font>
                <color theme="0"/>
              </font>
              <fill>
                <patternFill patternType="none">
                  <bgColor auto="1"/>
                </patternFill>
              </fill>
              <border>
                <left/>
                <right/>
                <top/>
                <bottom/>
                <vertical/>
                <horizontal/>
              </border>
            </x14:dxf>
          </x14:cfRule>
          <xm:sqref>G79:K79</xm:sqref>
        </x14:conditionalFormatting>
        <x14:conditionalFormatting xmlns:xm="http://schemas.microsoft.com/office/excel/2006/main">
          <x14:cfRule type="expression" priority="6" id="{D683EF4B-43FE-4716-8308-D4F4C6FD38D3}">
            <xm:f>$C$25=Daten!$P$52</xm:f>
            <x14:dxf>
              <font>
                <color auto="1"/>
              </font>
              <fill>
                <patternFill>
                  <bgColor theme="0" tint="-0.14996795556505021"/>
                </patternFill>
              </fill>
            </x14:dxf>
          </x14:cfRule>
          <xm:sqref>D25</xm:sqref>
        </x14:conditionalFormatting>
        <x14:conditionalFormatting xmlns:xm="http://schemas.microsoft.com/office/excel/2006/main">
          <x14:cfRule type="expression" priority="3" id="{7E2F3E40-BC9F-40EF-9C4F-7B821FACF1F9}">
            <xm:f>$G$76=Daten!$P$33</xm:f>
            <x14:dxf>
              <font>
                <color theme="0"/>
              </font>
              <fill>
                <patternFill patternType="none">
                  <bgColor auto="1"/>
                </patternFill>
              </fill>
            </x14:dxf>
          </x14:cfRule>
          <xm:sqref>G87:H87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Daten!$P$32:$P$33</xm:f>
          </x14:formula1>
          <xm:sqref>G44 G75:G77</xm:sqref>
        </x14:dataValidation>
        <x14:dataValidation type="list" allowBlank="1" showInputMessage="1" showErrorMessage="1">
          <x14:formula1>
            <xm:f>Daten!$Y$33:$Y$35</xm:f>
          </x14:formula1>
          <xm:sqref>D26</xm:sqref>
        </x14:dataValidation>
        <x14:dataValidation type="list" allowBlank="1" showInputMessage="1" showErrorMessage="1">
          <x14:formula1>
            <xm:f>Daten!$P$9:$P$25</xm:f>
          </x14:formula1>
          <xm:sqref>B44:C44</xm:sqref>
        </x14:dataValidation>
        <x14:dataValidation type="list" allowBlank="1" showInputMessage="1" showErrorMessage="1" promptTitle="Endzeitpunkt Badebetrieb" prompt="Der beheizte Badebetrieb muss mindestens 3 Monate sein!">
          <x14:formula1>
            <xm:f>Daten!$P$35:$P$41</xm:f>
          </x14:formula1>
          <xm:sqref>H21:I21</xm:sqref>
        </x14:dataValidation>
        <x14:dataValidation type="list" allowBlank="1" showInputMessage="1" showErrorMessage="1">
          <x14:formula1>
            <xm:f>Daten!$A$5:$A$6</xm:f>
          </x14:formula1>
          <xm:sqref>G23:I23</xm:sqref>
        </x14:dataValidation>
        <x14:dataValidation type="list" allowBlank="1" showInputMessage="1" showErrorMessage="1">
          <x14:formula1>
            <xm:f>Daten!$P$29:$P$30</xm:f>
          </x14:formula1>
          <xm:sqref>C18:D18</xm:sqref>
        </x14:dataValidation>
        <x14:dataValidation type="list" allowBlank="1" showInputMessage="1" showErrorMessage="1">
          <x14:formula1>
            <xm:f>Daten!$P$50:$P$52</xm:f>
          </x14:formula1>
          <xm:sqref>C24:C25</xm:sqref>
        </x14:dataValidation>
        <x14:dataValidation type="list" allowBlank="1" showInputMessage="1" showErrorMessage="1">
          <x14:formula1>
            <xm:f>Daten!$P$54:$P$55</xm:f>
          </x14:formula1>
          <xm:sqref>F24:I25</xm:sqref>
        </x14:dataValidation>
        <x14:dataValidation type="list" allowBlank="1" showInputMessage="1" showErrorMessage="1">
          <x14:formula1>
            <xm:f>Daten!$P$103:$P$118</xm:f>
          </x14:formula1>
          <xm:sqref>E64:H64</xm:sqref>
        </x14:dataValidation>
        <x14:dataValidation type="list" allowBlank="1" showInputMessage="1" showErrorMessage="1" promptTitle="Beckenwasserkondensator" prompt="Bei der Entfeuchtung von Schwimmhallen kann Überschusswärme mittels Beckenwasserkondensator an das Beckenwasser abgegeben werden. Diese Wärmeanteil darf als energietechnische Massnahme mit bilanziert werden.">
          <x14:formula1>
            <xm:f>Daten!$P$32:$P$33</xm:f>
          </x14:formula1>
          <xm:sqref>H26</xm:sqref>
        </x14:dataValidation>
        <x14:dataValidation type="list" allowBlank="1" showInputMessage="1" showErrorMessage="1" promptTitle="Startzeitpunkt Badesaison" prompt="Der beheizte Badebetrieb muss mindestens 3 Monate sein!">
          <x14:formula1>
            <xm:f>Daten!$P$35:$P$41</xm:f>
          </x14:formula1>
          <xm:sqref>F21</xm:sqref>
        </x14:dataValidation>
        <x14:dataValidation type="list" allowBlank="1" showInputMessage="1" showErrorMessage="1">
          <x14:formula1>
            <xm:f>Daten!$P$172:$P$183</xm:f>
          </x14:formula1>
          <xm:sqref>C16:D16</xm:sqref>
        </x14:dataValidation>
        <x14:dataValidation type="list" allowBlank="1" showInputMessage="1" showErrorMessage="1" promptTitle="Erläuterung" prompt="geschützt: Mind. 2 Seiten in Beckennähe (max. 5m Abstand) mit  ca. 2m hohen Mauern/Gebäudeteilen. (v=1m/s)_x000a_teilgeschützt: Mind. 2 Seiten in Beckennähe (max. 5m Abstand) mit Windschutz durch Sträucher/Bäume.(v=2m/s)_x000a_frei: Becken ist rundum frei.(v=4m/s)">
          <x14:formula1>
            <xm:f>Daten!$P$43:$P$45</xm:f>
          </x14:formula1>
          <xm:sqref>G22:I22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487"/>
  <sheetViews>
    <sheetView view="pageLayout" zoomScaleNormal="100" workbookViewId="0">
      <selection activeCell="D8" sqref="D8:E8"/>
    </sheetView>
  </sheetViews>
  <sheetFormatPr baseColWidth="10" defaultColWidth="11.44140625" defaultRowHeight="14.4" x14ac:dyDescent="0.3"/>
  <cols>
    <col min="1" max="1" width="10.5546875" style="192" customWidth="1"/>
    <col min="2" max="2" width="32.44140625" style="192" customWidth="1"/>
    <col min="3" max="3" width="13.88671875" style="192" customWidth="1"/>
    <col min="4" max="5" width="16.88671875" style="192" customWidth="1"/>
    <col min="6" max="6" width="15" style="192" customWidth="1"/>
    <col min="7" max="7" width="47.88671875" style="192" hidden="1" customWidth="1"/>
    <col min="8" max="8" width="18.44140625" style="193" hidden="1" customWidth="1"/>
    <col min="9" max="10" width="6.88671875" style="192" hidden="1" customWidth="1"/>
    <col min="11" max="11" width="19.6640625" style="194" hidden="1" customWidth="1"/>
    <col min="12" max="14" width="11" style="194" hidden="1" customWidth="1"/>
    <col min="15" max="15" width="11" style="194" customWidth="1"/>
    <col min="16" max="16384" width="11.44140625" style="194"/>
  </cols>
  <sheetData>
    <row r="1" spans="1:14" ht="28.5" customHeight="1" x14ac:dyDescent="0.3"/>
    <row r="2" spans="1:14" ht="25.8" x14ac:dyDescent="0.3">
      <c r="A2" s="267" t="s">
        <v>265</v>
      </c>
      <c r="B2" s="267"/>
      <c r="C2" s="267"/>
      <c r="D2" s="267"/>
      <c r="E2" s="267"/>
      <c r="G2" s="195" t="s">
        <v>106</v>
      </c>
      <c r="K2" s="300" t="s">
        <v>444</v>
      </c>
      <c r="L2" s="300"/>
      <c r="M2" s="300"/>
      <c r="N2" s="300"/>
    </row>
    <row r="3" spans="1:14" x14ac:dyDescent="0.3">
      <c r="G3" s="196">
        <v>25</v>
      </c>
      <c r="H3" s="193" t="s">
        <v>427</v>
      </c>
    </row>
    <row r="4" spans="1:14" x14ac:dyDescent="0.3">
      <c r="A4" s="197" t="s">
        <v>107</v>
      </c>
      <c r="B4" s="306" t="str">
        <f>IF(Schwimmbadbilanz!D6="","",CONCATENATE(Schwimmbadbilanz!D6,", ",Schwimmbadbilanz!D7,", ",Schwimmbadbilanz!D8,", ",Schwimmbadbilanz!D9))</f>
        <v/>
      </c>
      <c r="C4" s="306"/>
      <c r="D4" s="306"/>
      <c r="E4" s="306"/>
      <c r="G4" s="196">
        <v>20</v>
      </c>
      <c r="K4" s="197" t="s">
        <v>433</v>
      </c>
    </row>
    <row r="5" spans="1:14" x14ac:dyDescent="0.3">
      <c r="A5" s="197"/>
      <c r="B5" s="198"/>
      <c r="C5" s="198"/>
      <c r="D5" s="198"/>
      <c r="E5" s="198"/>
      <c r="G5" s="196">
        <v>8</v>
      </c>
      <c r="H5" s="193" t="s">
        <v>428</v>
      </c>
    </row>
    <row r="6" spans="1:14" x14ac:dyDescent="0.3">
      <c r="A6" s="197" t="s">
        <v>109</v>
      </c>
      <c r="B6" s="306" t="str">
        <f>IF(Schwimmbadbilanz!D6="","",CONCATENATE(Schwimmbadbilanz!D11,", ",Schwimmbadbilanz!D12,", ",Schwimmbadbilanz!D13,", ",Schwimmbadbilanz!D14))</f>
        <v/>
      </c>
      <c r="C6" s="306"/>
      <c r="D6" s="306"/>
      <c r="E6" s="306"/>
      <c r="G6" s="196" t="s">
        <v>122</v>
      </c>
      <c r="H6" s="193" t="s">
        <v>266</v>
      </c>
      <c r="K6" s="199" t="s">
        <v>434</v>
      </c>
      <c r="L6" s="140" t="e">
        <f>VLOOKUP(B8,G7:H9,2,FALSE)</f>
        <v>#N/A</v>
      </c>
    </row>
    <row r="7" spans="1:14" x14ac:dyDescent="0.3">
      <c r="A7" s="197"/>
      <c r="B7" s="198"/>
      <c r="C7" s="198"/>
      <c r="D7" s="198"/>
      <c r="E7" s="198"/>
      <c r="G7" s="196" t="s">
        <v>430</v>
      </c>
      <c r="H7" s="200">
        <v>1.5</v>
      </c>
      <c r="K7" s="194" t="s">
        <v>435</v>
      </c>
      <c r="L7" s="140">
        <f>PI()</f>
        <v>3.1415926535897931</v>
      </c>
    </row>
    <row r="8" spans="1:14" x14ac:dyDescent="0.3">
      <c r="A8" s="197" t="s">
        <v>429</v>
      </c>
      <c r="B8" s="201"/>
      <c r="C8" s="198"/>
      <c r="D8" s="312" t="s">
        <v>461</v>
      </c>
      <c r="E8" s="312"/>
      <c r="G8" s="196" t="s">
        <v>431</v>
      </c>
      <c r="H8" s="200">
        <v>2</v>
      </c>
      <c r="K8" s="194" t="s">
        <v>436</v>
      </c>
      <c r="L8" s="140" t="e">
        <f>(Schwimmbadbilanz!D21*Schwimmbadbilanz!D22)/(0.5*(Schwimmbadbilanz!D21+Schwimmbadbilanz!D22)*2)</f>
        <v>#DIV/0!</v>
      </c>
    </row>
    <row r="9" spans="1:14" ht="16.2" thickBot="1" x14ac:dyDescent="0.4">
      <c r="G9" s="202" t="s">
        <v>432</v>
      </c>
      <c r="H9" s="200">
        <v>3.5</v>
      </c>
      <c r="K9" s="194" t="s">
        <v>437</v>
      </c>
      <c r="L9" s="140" t="e">
        <f>SUM(C14:C23)+L6*SUM(E32:E43)</f>
        <v>#N/A</v>
      </c>
    </row>
    <row r="10" spans="1:14" ht="15.6" x14ac:dyDescent="0.3">
      <c r="A10" s="307" t="s">
        <v>123</v>
      </c>
      <c r="B10" s="308"/>
      <c r="C10" s="309" t="s">
        <v>263</v>
      </c>
      <c r="D10" s="310"/>
      <c r="E10" s="311"/>
      <c r="G10" s="195" t="s">
        <v>108</v>
      </c>
      <c r="K10" s="194" t="s">
        <v>438</v>
      </c>
      <c r="L10" s="203">
        <f>Schwimmbadbilanz!D23</f>
        <v>0</v>
      </c>
    </row>
    <row r="11" spans="1:14" ht="15.6" x14ac:dyDescent="0.35">
      <c r="A11" s="204" t="s">
        <v>110</v>
      </c>
      <c r="B11" s="205" t="s">
        <v>111</v>
      </c>
      <c r="C11" s="206" t="s">
        <v>112</v>
      </c>
      <c r="D11" s="207" t="s">
        <v>260</v>
      </c>
      <c r="E11" s="208" t="s">
        <v>113</v>
      </c>
      <c r="G11" s="192" t="s">
        <v>218</v>
      </c>
      <c r="H11" s="209">
        <v>200</v>
      </c>
      <c r="K11" s="194" t="s">
        <v>440</v>
      </c>
      <c r="L11" s="203" t="e">
        <f>L9+0.5*L10</f>
        <v>#N/A</v>
      </c>
    </row>
    <row r="12" spans="1:14" ht="15.6" x14ac:dyDescent="0.35">
      <c r="A12" s="210"/>
      <c r="B12" s="211"/>
      <c r="C12" s="212" t="s">
        <v>114</v>
      </c>
      <c r="D12" s="213" t="s">
        <v>261</v>
      </c>
      <c r="E12" s="214" t="s">
        <v>262</v>
      </c>
      <c r="G12" s="192" t="s">
        <v>126</v>
      </c>
      <c r="H12" s="209">
        <v>0.87</v>
      </c>
      <c r="K12" s="194" t="s">
        <v>441</v>
      </c>
      <c r="L12" s="203" t="e">
        <f>(2*L6)/(L7*L8+L9+0.5*L10)*LN((L7*L8)/(L9+0.5*L10)+1)</f>
        <v>#N/A</v>
      </c>
    </row>
    <row r="13" spans="1:14" ht="15.6" x14ac:dyDescent="0.35">
      <c r="A13" s="215" t="s">
        <v>115</v>
      </c>
      <c r="B13" s="216" t="s">
        <v>116</v>
      </c>
      <c r="C13" s="217" t="s">
        <v>115</v>
      </c>
      <c r="D13" s="218"/>
      <c r="E13" s="219">
        <f>IF(ISERR(1/D13),0,1/D13)</f>
        <v>0</v>
      </c>
      <c r="G13" s="192" t="s">
        <v>226</v>
      </c>
      <c r="H13" s="209">
        <v>1.48</v>
      </c>
      <c r="K13" s="194" t="s">
        <v>442</v>
      </c>
      <c r="L13" s="220" t="e">
        <f>L6/(0.457*L8+L9+0.5*L10)</f>
        <v>#N/A</v>
      </c>
    </row>
    <row r="14" spans="1:14" x14ac:dyDescent="0.3">
      <c r="A14" s="215" t="str">
        <f>IF(B14=""," ",1)</f>
        <v xml:space="preserve"> </v>
      </c>
      <c r="B14" s="221"/>
      <c r="C14" s="221"/>
      <c r="D14" s="222">
        <f t="shared" ref="D14:D23" si="0">IF(ISNA(VLOOKUP(B14,$G$9:$H$444,2,FALSE)),0,VLOOKUP(B14,$G$9:$H$444,2,FALSE))</f>
        <v>0</v>
      </c>
      <c r="E14" s="219">
        <f t="shared" ref="E14:E23" si="1">IF(ISERR(C14/D14),0,C14/D14)</f>
        <v>0</v>
      </c>
      <c r="G14" s="192" t="s">
        <v>191</v>
      </c>
      <c r="H14" s="209">
        <v>2.09</v>
      </c>
      <c r="L14" s="220"/>
    </row>
    <row r="15" spans="1:14" ht="15.6" x14ac:dyDescent="0.35">
      <c r="A15" s="215" t="str">
        <f>IF(B15=""," ",2)</f>
        <v xml:space="preserve"> </v>
      </c>
      <c r="B15" s="221"/>
      <c r="C15" s="221"/>
      <c r="D15" s="222">
        <f t="shared" si="0"/>
        <v>0</v>
      </c>
      <c r="E15" s="219">
        <f t="shared" si="1"/>
        <v>0</v>
      </c>
      <c r="G15" s="192" t="s">
        <v>166</v>
      </c>
      <c r="H15" s="209">
        <v>0.06</v>
      </c>
      <c r="K15" s="223" t="s">
        <v>318</v>
      </c>
      <c r="L15" s="224" t="e">
        <f>IF(L11&lt;L8,L12/E46,IF(L11&gt;=L8,L13/E46,0))</f>
        <v>#N/A</v>
      </c>
    </row>
    <row r="16" spans="1:14" x14ac:dyDescent="0.3">
      <c r="A16" s="215" t="str">
        <f>IF(B16=""," ",3)</f>
        <v xml:space="preserve"> </v>
      </c>
      <c r="B16" s="221"/>
      <c r="C16" s="221"/>
      <c r="D16" s="222">
        <f t="shared" si="0"/>
        <v>0</v>
      </c>
      <c r="E16" s="219">
        <f t="shared" si="1"/>
        <v>0</v>
      </c>
      <c r="G16" s="192" t="s">
        <v>194</v>
      </c>
      <c r="H16" s="209">
        <v>0.11</v>
      </c>
    </row>
    <row r="17" spans="1:12" x14ac:dyDescent="0.3">
      <c r="A17" s="215" t="str">
        <f>IF(B17=""," ",4)</f>
        <v xml:space="preserve"> </v>
      </c>
      <c r="B17" s="221"/>
      <c r="C17" s="221"/>
      <c r="D17" s="222">
        <f t="shared" si="0"/>
        <v>0</v>
      </c>
      <c r="E17" s="219">
        <f t="shared" si="1"/>
        <v>0</v>
      </c>
      <c r="G17" s="192" t="s">
        <v>195</v>
      </c>
      <c r="H17" s="209">
        <v>0.17</v>
      </c>
      <c r="K17" s="197" t="s">
        <v>439</v>
      </c>
    </row>
    <row r="18" spans="1:12" x14ac:dyDescent="0.3">
      <c r="A18" s="215" t="str">
        <f>IF(B18=""," ",5)</f>
        <v xml:space="preserve"> </v>
      </c>
      <c r="B18" s="221"/>
      <c r="C18" s="221"/>
      <c r="D18" s="222">
        <f t="shared" si="0"/>
        <v>0</v>
      </c>
      <c r="E18" s="219">
        <f t="shared" si="1"/>
        <v>0</v>
      </c>
      <c r="G18" s="192" t="s">
        <v>196</v>
      </c>
      <c r="H18" s="209">
        <v>0.3</v>
      </c>
    </row>
    <row r="19" spans="1:12" ht="15.6" x14ac:dyDescent="0.35">
      <c r="A19" s="215" t="str">
        <f>IF(B19=""," ",6)</f>
        <v xml:space="preserve"> </v>
      </c>
      <c r="B19" s="221"/>
      <c r="C19" s="221"/>
      <c r="D19" s="222">
        <f t="shared" si="0"/>
        <v>0</v>
      </c>
      <c r="E19" s="219">
        <f t="shared" si="1"/>
        <v>0</v>
      </c>
      <c r="G19" s="192" t="s">
        <v>197</v>
      </c>
      <c r="H19" s="209">
        <v>0.5</v>
      </c>
      <c r="K19" s="194" t="s">
        <v>443</v>
      </c>
      <c r="L19" s="140" t="e">
        <f>L6*SUM(E13:E24)</f>
        <v>#N/A</v>
      </c>
    </row>
    <row r="20" spans="1:12" ht="15.6" x14ac:dyDescent="0.35">
      <c r="A20" s="215" t="str">
        <f>IF(B20=""," ",7)</f>
        <v xml:space="preserve"> </v>
      </c>
      <c r="B20" s="221"/>
      <c r="C20" s="221"/>
      <c r="D20" s="222">
        <f t="shared" si="0"/>
        <v>0</v>
      </c>
      <c r="E20" s="219">
        <f t="shared" si="1"/>
        <v>0</v>
      </c>
      <c r="G20" s="192" t="s">
        <v>198</v>
      </c>
      <c r="H20" s="209">
        <v>0.7</v>
      </c>
      <c r="K20" s="194" t="s">
        <v>445</v>
      </c>
      <c r="L20" s="140" t="e">
        <f>((2*L6)/(L7*L10))*(1+(0.5*L9)/(L9+L10))*LN(L10/L19+1)</f>
        <v>#N/A</v>
      </c>
    </row>
    <row r="21" spans="1:12" ht="15.6" x14ac:dyDescent="0.35">
      <c r="A21" s="215" t="str">
        <f>IF(B21=""," ",8)</f>
        <v xml:space="preserve"> </v>
      </c>
      <c r="B21" s="221"/>
      <c r="C21" s="221"/>
      <c r="D21" s="222">
        <f t="shared" si="0"/>
        <v>0</v>
      </c>
      <c r="E21" s="219">
        <f t="shared" si="1"/>
        <v>0</v>
      </c>
      <c r="G21" s="192" t="s">
        <v>199</v>
      </c>
      <c r="H21" s="209">
        <v>1</v>
      </c>
      <c r="K21" s="194" t="s">
        <v>446</v>
      </c>
      <c r="L21" s="140" t="e">
        <f>((2*L6)/(L7*L10))*(1+(0.5*L19)/(L19+L10))*LN(L10/L19+1)</f>
        <v>#N/A</v>
      </c>
    </row>
    <row r="22" spans="1:12" x14ac:dyDescent="0.3">
      <c r="A22" s="215" t="str">
        <f>IF(B22=""," ",9)</f>
        <v xml:space="preserve"> </v>
      </c>
      <c r="B22" s="221"/>
      <c r="C22" s="221"/>
      <c r="D22" s="222">
        <f t="shared" si="0"/>
        <v>0</v>
      </c>
      <c r="E22" s="219">
        <f t="shared" si="1"/>
        <v>0</v>
      </c>
      <c r="G22" s="192" t="s">
        <v>175</v>
      </c>
      <c r="H22" s="209">
        <v>0.35</v>
      </c>
      <c r="L22" s="140"/>
    </row>
    <row r="23" spans="1:12" ht="15.6" x14ac:dyDescent="0.35">
      <c r="A23" s="215" t="str">
        <f>IF(B23=""," ",10)</f>
        <v xml:space="preserve"> </v>
      </c>
      <c r="B23" s="221"/>
      <c r="C23" s="221"/>
      <c r="D23" s="222">
        <f t="shared" si="0"/>
        <v>0</v>
      </c>
      <c r="E23" s="219">
        <f t="shared" si="1"/>
        <v>0</v>
      </c>
      <c r="G23" s="192" t="s">
        <v>215</v>
      </c>
      <c r="H23" s="209">
        <v>0.17</v>
      </c>
      <c r="K23" s="223" t="s">
        <v>317</v>
      </c>
      <c r="L23" s="225" t="e">
        <f>IF(L19&gt;=L9,L20/E27,IF(L19&lt;L9,L21/E27,0))</f>
        <v>#N/A</v>
      </c>
    </row>
    <row r="24" spans="1:12" ht="15" thickBot="1" x14ac:dyDescent="0.35">
      <c r="A24" s="226" t="s">
        <v>115</v>
      </c>
      <c r="B24" s="227" t="s">
        <v>121</v>
      </c>
      <c r="C24" s="228" t="s">
        <v>115</v>
      </c>
      <c r="D24" s="229"/>
      <c r="E24" s="230">
        <f>IF(ISERR(1/D24),0,1/D24)</f>
        <v>0</v>
      </c>
      <c r="G24" s="192" t="s">
        <v>231</v>
      </c>
      <c r="H24" s="209">
        <v>0</v>
      </c>
      <c r="L24" s="140"/>
    </row>
    <row r="25" spans="1:12" ht="16.2" thickBot="1" x14ac:dyDescent="0.35">
      <c r="A25" s="194"/>
      <c r="B25" s="194"/>
      <c r="C25" s="194"/>
      <c r="D25" s="231" t="s">
        <v>312</v>
      </c>
      <c r="E25" s="232">
        <f>SUM(E13:E24)</f>
        <v>0</v>
      </c>
      <c r="G25" s="192" t="s">
        <v>216</v>
      </c>
      <c r="H25" s="209">
        <v>0.21</v>
      </c>
      <c r="L25" s="140"/>
    </row>
    <row r="26" spans="1:12" ht="15" thickBot="1" x14ac:dyDescent="0.35">
      <c r="G26" s="192" t="s">
        <v>221</v>
      </c>
      <c r="H26" s="209">
        <v>2.23</v>
      </c>
      <c r="L26" s="140"/>
    </row>
    <row r="27" spans="1:12" ht="16.8" thickBot="1" x14ac:dyDescent="0.35">
      <c r="C27" s="301" t="s">
        <v>313</v>
      </c>
      <c r="D27" s="302"/>
      <c r="E27" s="233">
        <f>IF(ISERR(1/E25),0,1/E25)</f>
        <v>0</v>
      </c>
      <c r="G27" s="192" t="s">
        <v>235</v>
      </c>
      <c r="H27" s="209">
        <v>4.4999999999999998E-2</v>
      </c>
      <c r="L27" s="140"/>
    </row>
    <row r="28" spans="1:12" ht="15" thickBot="1" x14ac:dyDescent="0.35">
      <c r="G28" s="192" t="s">
        <v>234</v>
      </c>
      <c r="H28" s="209">
        <v>0</v>
      </c>
      <c r="L28" s="140"/>
    </row>
    <row r="29" spans="1:12" x14ac:dyDescent="0.3">
      <c r="A29" s="234" t="s">
        <v>123</v>
      </c>
      <c r="B29" s="235"/>
      <c r="C29" s="303" t="s">
        <v>264</v>
      </c>
      <c r="D29" s="304"/>
      <c r="E29" s="305"/>
      <c r="G29" s="192" t="s">
        <v>206</v>
      </c>
      <c r="H29" s="209">
        <v>0.45</v>
      </c>
      <c r="L29" s="140"/>
    </row>
    <row r="30" spans="1:12" x14ac:dyDescent="0.3">
      <c r="A30" s="204" t="s">
        <v>110</v>
      </c>
      <c r="B30" s="205" t="s">
        <v>111</v>
      </c>
      <c r="C30" s="206" t="s">
        <v>112</v>
      </c>
      <c r="D30" s="207" t="s">
        <v>260</v>
      </c>
      <c r="E30" s="208" t="s">
        <v>113</v>
      </c>
      <c r="G30" s="192" t="s">
        <v>214</v>
      </c>
      <c r="H30" s="209">
        <v>0.14000000000000001</v>
      </c>
    </row>
    <row r="31" spans="1:12" x14ac:dyDescent="0.3">
      <c r="A31" s="210"/>
      <c r="B31" s="211"/>
      <c r="C31" s="212" t="s">
        <v>114</v>
      </c>
      <c r="D31" s="213" t="s">
        <v>261</v>
      </c>
      <c r="E31" s="214" t="s">
        <v>262</v>
      </c>
      <c r="G31" s="192" t="s">
        <v>233</v>
      </c>
      <c r="H31" s="209">
        <v>0</v>
      </c>
    </row>
    <row r="32" spans="1:12" x14ac:dyDescent="0.3">
      <c r="A32" s="215" t="s">
        <v>115</v>
      </c>
      <c r="B32" s="216" t="s">
        <v>116</v>
      </c>
      <c r="C32" s="217" t="s">
        <v>115</v>
      </c>
      <c r="D32" s="218"/>
      <c r="E32" s="219">
        <f>IF(ISERR(1/D32),0,1/D32)</f>
        <v>0</v>
      </c>
      <c r="G32" s="192" t="s">
        <v>185</v>
      </c>
      <c r="H32" s="209">
        <v>0.16</v>
      </c>
    </row>
    <row r="33" spans="1:8" x14ac:dyDescent="0.3">
      <c r="A33" s="215" t="str">
        <f>IF(B33=""," ",1)</f>
        <v xml:space="preserve"> </v>
      </c>
      <c r="B33" s="221"/>
      <c r="C33" s="221"/>
      <c r="D33" s="222">
        <f t="shared" ref="D33:D42" si="2">IF(ISNA(VLOOKUP(B33,$G$9:$H$444,2,FALSE)),0,VLOOKUP(B33,$G$9:$H$444,2,FALSE))</f>
        <v>0</v>
      </c>
      <c r="E33" s="219">
        <f t="shared" ref="E33:E42" si="3">IF(ISERR(C33/D33),0,C33/D33)</f>
        <v>0</v>
      </c>
      <c r="G33" s="192" t="s">
        <v>186</v>
      </c>
      <c r="H33" s="209">
        <v>0.18</v>
      </c>
    </row>
    <row r="34" spans="1:8" x14ac:dyDescent="0.3">
      <c r="A34" s="215" t="str">
        <f>IF(B34=""," ",2)</f>
        <v xml:space="preserve"> </v>
      </c>
      <c r="B34" s="221"/>
      <c r="C34" s="221"/>
      <c r="D34" s="222">
        <f t="shared" si="2"/>
        <v>0</v>
      </c>
      <c r="E34" s="219">
        <f t="shared" si="3"/>
        <v>0</v>
      </c>
      <c r="G34" s="192" t="s">
        <v>184</v>
      </c>
      <c r="H34" s="209">
        <v>0.2</v>
      </c>
    </row>
    <row r="35" spans="1:8" x14ac:dyDescent="0.3">
      <c r="A35" s="215" t="str">
        <f>IF(B35=""," ",3)</f>
        <v xml:space="preserve"> </v>
      </c>
      <c r="B35" s="221"/>
      <c r="C35" s="221"/>
      <c r="D35" s="222">
        <f t="shared" si="2"/>
        <v>0</v>
      </c>
      <c r="E35" s="219">
        <f t="shared" si="3"/>
        <v>0</v>
      </c>
      <c r="G35" s="192" t="s">
        <v>187</v>
      </c>
      <c r="H35" s="209">
        <v>0.21</v>
      </c>
    </row>
    <row r="36" spans="1:8" x14ac:dyDescent="0.3">
      <c r="A36" s="215" t="str">
        <f>IF(B36=""," ",4)</f>
        <v xml:space="preserve"> </v>
      </c>
      <c r="B36" s="221"/>
      <c r="C36" s="221"/>
      <c r="D36" s="222">
        <f t="shared" si="2"/>
        <v>0</v>
      </c>
      <c r="E36" s="219">
        <f t="shared" si="3"/>
        <v>0</v>
      </c>
      <c r="G36" s="192" t="s">
        <v>205</v>
      </c>
      <c r="H36" s="209">
        <v>0.21</v>
      </c>
    </row>
    <row r="37" spans="1:8" x14ac:dyDescent="0.3">
      <c r="A37" s="215" t="str">
        <f>IF(B37=""," ",5)</f>
        <v xml:space="preserve"> </v>
      </c>
      <c r="B37" s="221"/>
      <c r="C37" s="221"/>
      <c r="D37" s="222">
        <f t="shared" si="2"/>
        <v>0</v>
      </c>
      <c r="E37" s="219">
        <f t="shared" si="3"/>
        <v>0</v>
      </c>
      <c r="G37" s="192" t="s">
        <v>202</v>
      </c>
      <c r="H37" s="209">
        <v>0.57999999999999996</v>
      </c>
    </row>
    <row r="38" spans="1:8" x14ac:dyDescent="0.3">
      <c r="A38" s="215" t="str">
        <f>IF(B38=""," ",6)</f>
        <v xml:space="preserve"> </v>
      </c>
      <c r="B38" s="221"/>
      <c r="C38" s="221"/>
      <c r="D38" s="222">
        <f t="shared" si="2"/>
        <v>0</v>
      </c>
      <c r="E38" s="219">
        <f t="shared" si="3"/>
        <v>0</v>
      </c>
      <c r="G38" s="192" t="s">
        <v>203</v>
      </c>
      <c r="H38" s="209">
        <v>0.7</v>
      </c>
    </row>
    <row r="39" spans="1:8" x14ac:dyDescent="0.3">
      <c r="A39" s="215" t="str">
        <f>IF(B39=""," ",7)</f>
        <v xml:space="preserve"> </v>
      </c>
      <c r="B39" s="221"/>
      <c r="C39" s="221"/>
      <c r="D39" s="222">
        <f t="shared" si="2"/>
        <v>0</v>
      </c>
      <c r="E39" s="219">
        <f t="shared" si="3"/>
        <v>0</v>
      </c>
      <c r="G39" s="192" t="s">
        <v>204</v>
      </c>
      <c r="H39" s="209">
        <v>0.4</v>
      </c>
    </row>
    <row r="40" spans="1:8" x14ac:dyDescent="0.3">
      <c r="A40" s="215" t="str">
        <f>IF(B40=""," ",8)</f>
        <v xml:space="preserve"> </v>
      </c>
      <c r="B40" s="221"/>
      <c r="C40" s="221"/>
      <c r="D40" s="222">
        <f t="shared" si="2"/>
        <v>0</v>
      </c>
      <c r="E40" s="219">
        <f t="shared" si="3"/>
        <v>0</v>
      </c>
      <c r="G40" s="192" t="s">
        <v>219</v>
      </c>
      <c r="H40" s="209">
        <v>0.81</v>
      </c>
    </row>
    <row r="41" spans="1:8" x14ac:dyDescent="0.3">
      <c r="A41" s="215" t="str">
        <f>IF(B41=""," ",9)</f>
        <v xml:space="preserve"> </v>
      </c>
      <c r="B41" s="221"/>
      <c r="C41" s="221"/>
      <c r="D41" s="222">
        <f t="shared" si="2"/>
        <v>0</v>
      </c>
      <c r="E41" s="219">
        <f t="shared" si="3"/>
        <v>0</v>
      </c>
      <c r="G41" s="192" t="s">
        <v>138</v>
      </c>
      <c r="H41" s="209">
        <v>3.5000000000000003E-2</v>
      </c>
    </row>
    <row r="42" spans="1:8" x14ac:dyDescent="0.3">
      <c r="A42" s="215" t="str">
        <f>IF(B42=""," ",10)</f>
        <v xml:space="preserve"> </v>
      </c>
      <c r="B42" s="221"/>
      <c r="C42" s="221"/>
      <c r="D42" s="222">
        <f t="shared" si="2"/>
        <v>0</v>
      </c>
      <c r="E42" s="219">
        <f t="shared" si="3"/>
        <v>0</v>
      </c>
      <c r="G42" s="192" t="s">
        <v>137</v>
      </c>
      <c r="H42" s="209">
        <v>0.04</v>
      </c>
    </row>
    <row r="43" spans="1:8" ht="15" thickBot="1" x14ac:dyDescent="0.35">
      <c r="A43" s="226" t="s">
        <v>115</v>
      </c>
      <c r="B43" s="227" t="s">
        <v>121</v>
      </c>
      <c r="C43" s="228" t="s">
        <v>115</v>
      </c>
      <c r="D43" s="229"/>
      <c r="E43" s="230">
        <f>IF(ISERR(1/D43),0,1/D43)</f>
        <v>0</v>
      </c>
      <c r="G43" s="192" t="s">
        <v>136</v>
      </c>
      <c r="H43" s="209">
        <v>4.4999999999999998E-2</v>
      </c>
    </row>
    <row r="44" spans="1:8" ht="16.2" thickBot="1" x14ac:dyDescent="0.35">
      <c r="A44" s="194"/>
      <c r="B44" s="194"/>
      <c r="C44" s="194"/>
      <c r="D44" s="231" t="s">
        <v>312</v>
      </c>
      <c r="E44" s="232">
        <f>SUM(E32:E43)</f>
        <v>0</v>
      </c>
      <c r="G44" s="192" t="s">
        <v>135</v>
      </c>
      <c r="H44" s="209">
        <v>0.05</v>
      </c>
    </row>
    <row r="45" spans="1:8" ht="15" thickBot="1" x14ac:dyDescent="0.35">
      <c r="A45" s="194"/>
      <c r="B45" s="194"/>
      <c r="C45" s="194"/>
      <c r="D45" s="194"/>
      <c r="E45" s="194"/>
      <c r="G45" s="192" t="s">
        <v>140</v>
      </c>
      <c r="H45" s="209">
        <v>0.04</v>
      </c>
    </row>
    <row r="46" spans="1:8" ht="16.8" thickBot="1" x14ac:dyDescent="0.35">
      <c r="A46" s="194"/>
      <c r="B46" s="194"/>
      <c r="C46" s="301" t="s">
        <v>313</v>
      </c>
      <c r="D46" s="302"/>
      <c r="E46" s="233">
        <f>IF(ISERR(1/E44),0,1/E44)</f>
        <v>0</v>
      </c>
      <c r="G46" s="192" t="s">
        <v>139</v>
      </c>
      <c r="H46" s="209">
        <v>4.4999999999999998E-2</v>
      </c>
    </row>
    <row r="47" spans="1:8" x14ac:dyDescent="0.3">
      <c r="C47" s="236"/>
      <c r="D47" s="237"/>
      <c r="E47" s="238"/>
      <c r="G47" s="192" t="s">
        <v>227</v>
      </c>
      <c r="H47" s="209">
        <v>0.69</v>
      </c>
    </row>
    <row r="48" spans="1:8" x14ac:dyDescent="0.3">
      <c r="A48" s="239"/>
      <c r="B48" s="239"/>
      <c r="C48" s="239"/>
      <c r="D48" s="239"/>
      <c r="E48" s="239"/>
      <c r="G48" s="192" t="s">
        <v>176</v>
      </c>
      <c r="H48" s="209">
        <v>0.12</v>
      </c>
    </row>
    <row r="49" spans="7:8" x14ac:dyDescent="0.3">
      <c r="G49" s="192" t="s">
        <v>230</v>
      </c>
      <c r="H49" s="209">
        <v>0.14000000000000001</v>
      </c>
    </row>
    <row r="50" spans="7:8" x14ac:dyDescent="0.3">
      <c r="G50" s="192" t="s">
        <v>209</v>
      </c>
      <c r="H50" s="193">
        <v>8.5000000000000006E-2</v>
      </c>
    </row>
    <row r="51" spans="7:8" x14ac:dyDescent="0.3">
      <c r="G51" s="192" t="s">
        <v>211</v>
      </c>
      <c r="H51" s="193">
        <v>0.17</v>
      </c>
    </row>
    <row r="52" spans="7:8" x14ac:dyDescent="0.3">
      <c r="G52" s="240" t="s">
        <v>208</v>
      </c>
      <c r="H52" s="193">
        <v>0.06</v>
      </c>
    </row>
    <row r="53" spans="7:8" x14ac:dyDescent="0.3">
      <c r="G53" s="240" t="s">
        <v>164</v>
      </c>
      <c r="H53" s="193">
        <v>4.8000000000000001E-2</v>
      </c>
    </row>
    <row r="54" spans="7:8" x14ac:dyDescent="0.3">
      <c r="G54" s="240" t="s">
        <v>165</v>
      </c>
      <c r="H54" s="193">
        <v>5.6000000000000001E-2</v>
      </c>
    </row>
    <row r="55" spans="7:8" ht="12.75" customHeight="1" x14ac:dyDescent="0.3">
      <c r="G55" s="240" t="s">
        <v>183</v>
      </c>
      <c r="H55" s="193">
        <v>0.2</v>
      </c>
    </row>
    <row r="56" spans="7:8" ht="12.75" customHeight="1" x14ac:dyDescent="0.3">
      <c r="G56" s="192" t="s">
        <v>212</v>
      </c>
      <c r="H56" s="193">
        <v>0.15</v>
      </c>
    </row>
    <row r="57" spans="7:8" ht="12" customHeight="1" x14ac:dyDescent="0.3">
      <c r="G57" s="192" t="s">
        <v>213</v>
      </c>
      <c r="H57" s="193">
        <v>0.44</v>
      </c>
    </row>
    <row r="58" spans="7:8" ht="12" customHeight="1" x14ac:dyDescent="0.3">
      <c r="G58" s="192" t="s">
        <v>163</v>
      </c>
      <c r="H58" s="209" t="s">
        <v>311</v>
      </c>
    </row>
    <row r="59" spans="7:8" x14ac:dyDescent="0.3">
      <c r="G59" s="192" t="s">
        <v>167</v>
      </c>
      <c r="H59" s="209">
        <v>8.5000000000000006E-2</v>
      </c>
    </row>
    <row r="60" spans="7:8" x14ac:dyDescent="0.3">
      <c r="G60" s="192" t="s">
        <v>168</v>
      </c>
      <c r="H60" s="209">
        <v>0.09</v>
      </c>
    </row>
    <row r="61" spans="7:8" x14ac:dyDescent="0.3">
      <c r="G61" s="192" t="s">
        <v>210</v>
      </c>
      <c r="H61" s="209">
        <v>8.5000000000000006E-2</v>
      </c>
    </row>
    <row r="62" spans="7:8" x14ac:dyDescent="0.3">
      <c r="G62" s="192" t="s">
        <v>127</v>
      </c>
      <c r="H62" s="209">
        <v>0.7</v>
      </c>
    </row>
    <row r="63" spans="7:8" x14ac:dyDescent="0.3">
      <c r="G63" s="192" t="s">
        <v>171</v>
      </c>
      <c r="H63" s="209">
        <v>0.47</v>
      </c>
    </row>
    <row r="64" spans="7:8" x14ac:dyDescent="0.3">
      <c r="G64" s="192" t="s">
        <v>207</v>
      </c>
      <c r="H64" s="209">
        <v>0.12</v>
      </c>
    </row>
    <row r="65" spans="7:8" x14ac:dyDescent="0.3">
      <c r="G65" s="192" t="s">
        <v>200</v>
      </c>
      <c r="H65" s="209">
        <v>0.87</v>
      </c>
    </row>
    <row r="66" spans="7:8" x14ac:dyDescent="0.3">
      <c r="G66" s="192" t="s">
        <v>178</v>
      </c>
      <c r="H66" s="209">
        <v>0.8</v>
      </c>
    </row>
    <row r="67" spans="7:8" x14ac:dyDescent="0.3">
      <c r="G67" s="192" t="s">
        <v>179</v>
      </c>
      <c r="H67" s="209">
        <v>1</v>
      </c>
    </row>
    <row r="68" spans="7:8" x14ac:dyDescent="0.3">
      <c r="G68" s="192" t="s">
        <v>180</v>
      </c>
      <c r="H68" s="209">
        <v>1.1000000000000001</v>
      </c>
    </row>
    <row r="69" spans="7:8" x14ac:dyDescent="0.3">
      <c r="G69" s="192" t="s">
        <v>201</v>
      </c>
      <c r="H69" s="209">
        <v>1</v>
      </c>
    </row>
    <row r="70" spans="7:8" x14ac:dyDescent="0.3">
      <c r="G70" s="192" t="s">
        <v>174</v>
      </c>
      <c r="H70" s="209">
        <v>0.8</v>
      </c>
    </row>
    <row r="71" spans="7:8" x14ac:dyDescent="0.3">
      <c r="G71" s="192" t="s">
        <v>117</v>
      </c>
      <c r="H71" s="209">
        <v>1</v>
      </c>
    </row>
    <row r="72" spans="7:8" x14ac:dyDescent="0.3">
      <c r="G72" s="192" t="s">
        <v>224</v>
      </c>
      <c r="H72" s="209">
        <v>1</v>
      </c>
    </row>
    <row r="73" spans="7:8" x14ac:dyDescent="0.3">
      <c r="G73" s="192" t="s">
        <v>124</v>
      </c>
      <c r="H73" s="209">
        <v>1.05</v>
      </c>
    </row>
    <row r="74" spans="7:8" x14ac:dyDescent="0.3">
      <c r="G74" s="192" t="s">
        <v>177</v>
      </c>
      <c r="H74" s="209">
        <v>1.8</v>
      </c>
    </row>
    <row r="75" spans="7:8" x14ac:dyDescent="0.3">
      <c r="G75" s="192" t="s">
        <v>143</v>
      </c>
      <c r="H75" s="209">
        <v>5.5E-2</v>
      </c>
    </row>
    <row r="76" spans="7:8" x14ac:dyDescent="0.3">
      <c r="G76" s="192" t="s">
        <v>144</v>
      </c>
      <c r="H76" s="209">
        <v>4.2000000000000003E-2</v>
      </c>
    </row>
    <row r="77" spans="7:8" x14ac:dyDescent="0.3">
      <c r="G77" s="192" t="s">
        <v>144</v>
      </c>
      <c r="H77" s="209">
        <v>0.06</v>
      </c>
    </row>
    <row r="78" spans="7:8" x14ac:dyDescent="0.3">
      <c r="G78" s="192" t="s">
        <v>145</v>
      </c>
      <c r="H78" s="209">
        <v>4.5999999999999999E-2</v>
      </c>
    </row>
    <row r="79" spans="7:8" x14ac:dyDescent="0.3">
      <c r="G79" s="192" t="s">
        <v>188</v>
      </c>
      <c r="H79" s="209">
        <v>3.5</v>
      </c>
    </row>
    <row r="80" spans="7:8" x14ac:dyDescent="0.3">
      <c r="G80" s="192" t="s">
        <v>192</v>
      </c>
      <c r="H80" s="209">
        <v>0.93</v>
      </c>
    </row>
    <row r="81" spans="7:8" x14ac:dyDescent="0.3">
      <c r="G81" s="192" t="s">
        <v>146</v>
      </c>
      <c r="H81" s="209">
        <v>4.2000000000000003E-2</v>
      </c>
    </row>
    <row r="82" spans="7:8" x14ac:dyDescent="0.3">
      <c r="G82" s="192" t="s">
        <v>152</v>
      </c>
      <c r="H82" s="209">
        <v>7.0000000000000007E-2</v>
      </c>
    </row>
    <row r="83" spans="7:8" x14ac:dyDescent="0.3">
      <c r="G83" s="192" t="s">
        <v>250</v>
      </c>
      <c r="H83" s="209">
        <v>0.45454545454545459</v>
      </c>
    </row>
    <row r="84" spans="7:8" x14ac:dyDescent="0.3">
      <c r="G84" s="192" t="s">
        <v>246</v>
      </c>
      <c r="H84" s="209">
        <v>6.6666666666666666E-2</v>
      </c>
    </row>
    <row r="85" spans="7:8" x14ac:dyDescent="0.3">
      <c r="G85" s="192" t="s">
        <v>247</v>
      </c>
      <c r="H85" s="209">
        <v>8.8235294117647051E-2</v>
      </c>
    </row>
    <row r="86" spans="7:8" x14ac:dyDescent="0.3">
      <c r="G86" s="192" t="s">
        <v>248</v>
      </c>
      <c r="H86" s="209">
        <v>0.13157894736842105</v>
      </c>
    </row>
    <row r="87" spans="7:8" x14ac:dyDescent="0.3">
      <c r="G87" s="192" t="s">
        <v>251</v>
      </c>
      <c r="H87" s="209">
        <v>1.3043478260869563</v>
      </c>
    </row>
    <row r="88" spans="7:8" x14ac:dyDescent="0.3">
      <c r="G88" s="192" t="s">
        <v>249</v>
      </c>
      <c r="H88" s="209">
        <v>0.23809523809523811</v>
      </c>
    </row>
    <row r="89" spans="7:8" x14ac:dyDescent="0.3">
      <c r="G89" s="192" t="s">
        <v>244</v>
      </c>
      <c r="H89" s="209">
        <v>4.5454545454545456E-2</v>
      </c>
    </row>
    <row r="90" spans="7:8" x14ac:dyDescent="0.3">
      <c r="G90" s="192" t="s">
        <v>245</v>
      </c>
      <c r="H90" s="209">
        <v>5.3846153846153842E-2</v>
      </c>
    </row>
    <row r="91" spans="7:8" x14ac:dyDescent="0.3">
      <c r="G91" s="192" t="s">
        <v>242</v>
      </c>
      <c r="H91" s="209">
        <v>0.625</v>
      </c>
    </row>
    <row r="92" spans="7:8" x14ac:dyDescent="0.3">
      <c r="G92" s="192" t="s">
        <v>238</v>
      </c>
      <c r="H92" s="209">
        <v>6.6666666666666666E-2</v>
      </c>
    </row>
    <row r="93" spans="7:8" x14ac:dyDescent="0.3">
      <c r="G93" s="192" t="s">
        <v>239</v>
      </c>
      <c r="H93" s="209">
        <v>9.375E-2</v>
      </c>
    </row>
    <row r="94" spans="7:8" x14ac:dyDescent="0.3">
      <c r="G94" s="192" t="s">
        <v>240</v>
      </c>
      <c r="H94" s="209">
        <v>0.15625</v>
      </c>
    </row>
    <row r="95" spans="7:8" x14ac:dyDescent="0.3">
      <c r="G95" s="192" t="s">
        <v>243</v>
      </c>
      <c r="H95" s="209">
        <v>1.875</v>
      </c>
    </row>
    <row r="96" spans="7:8" x14ac:dyDescent="0.3">
      <c r="G96" s="192" t="s">
        <v>241</v>
      </c>
      <c r="H96" s="209">
        <v>0.3125</v>
      </c>
    </row>
    <row r="97" spans="7:8" x14ac:dyDescent="0.3">
      <c r="G97" s="192" t="s">
        <v>236</v>
      </c>
      <c r="H97" s="193">
        <v>4.5454545454545456E-2</v>
      </c>
    </row>
    <row r="98" spans="7:8" x14ac:dyDescent="0.3">
      <c r="G98" s="240" t="s">
        <v>237</v>
      </c>
      <c r="H98" s="193">
        <v>5.3846153846153842E-2</v>
      </c>
    </row>
    <row r="99" spans="7:8" x14ac:dyDescent="0.3">
      <c r="G99" s="240" t="s">
        <v>258</v>
      </c>
      <c r="H99" s="193">
        <v>0.55555555555555558</v>
      </c>
    </row>
    <row r="100" spans="7:8" x14ac:dyDescent="0.3">
      <c r="G100" s="240" t="s">
        <v>254</v>
      </c>
      <c r="H100" s="193">
        <v>6.6666666666666666E-2</v>
      </c>
    </row>
    <row r="101" spans="7:8" x14ac:dyDescent="0.3">
      <c r="G101" s="240" t="s">
        <v>255</v>
      </c>
      <c r="H101" s="193">
        <v>8.8235294117647051E-2</v>
      </c>
    </row>
    <row r="102" spans="7:8" x14ac:dyDescent="0.3">
      <c r="G102" s="240" t="s">
        <v>256</v>
      </c>
      <c r="H102" s="193">
        <v>0.1388888888888889</v>
      </c>
    </row>
    <row r="103" spans="7:8" x14ac:dyDescent="0.3">
      <c r="G103" s="240" t="s">
        <v>259</v>
      </c>
      <c r="H103" s="193">
        <v>1.6666666666666667</v>
      </c>
    </row>
    <row r="104" spans="7:8" x14ac:dyDescent="0.3">
      <c r="G104" s="240" t="s">
        <v>257</v>
      </c>
      <c r="H104" s="193">
        <v>0.27777777777777779</v>
      </c>
    </row>
    <row r="105" spans="7:8" x14ac:dyDescent="0.3">
      <c r="G105" s="192" t="s">
        <v>252</v>
      </c>
      <c r="H105" s="209">
        <v>4.5454545454545456E-2</v>
      </c>
    </row>
    <row r="106" spans="7:8" x14ac:dyDescent="0.3">
      <c r="G106" s="192" t="s">
        <v>253</v>
      </c>
      <c r="H106" s="209">
        <v>5.3846153846153842E-2</v>
      </c>
    </row>
    <row r="107" spans="7:8" x14ac:dyDescent="0.3">
      <c r="G107" s="192" t="s">
        <v>225</v>
      </c>
      <c r="H107" s="209">
        <v>0.23</v>
      </c>
    </row>
    <row r="108" spans="7:8" x14ac:dyDescent="0.3">
      <c r="G108" s="192" t="s">
        <v>141</v>
      </c>
      <c r="H108" s="209">
        <v>0.06</v>
      </c>
    </row>
    <row r="109" spans="7:8" x14ac:dyDescent="0.3">
      <c r="G109" s="192" t="s">
        <v>120</v>
      </c>
      <c r="H109" s="209">
        <v>9.0999999999999998E-2</v>
      </c>
    </row>
    <row r="110" spans="7:8" x14ac:dyDescent="0.3">
      <c r="G110" s="192" t="s">
        <v>169</v>
      </c>
      <c r="H110" s="209">
        <v>0.44</v>
      </c>
    </row>
    <row r="111" spans="7:8" x14ac:dyDescent="0.3">
      <c r="G111" s="192" t="s">
        <v>170</v>
      </c>
      <c r="H111" s="209">
        <v>0.37</v>
      </c>
    </row>
    <row r="112" spans="7:8" x14ac:dyDescent="0.3">
      <c r="G112" s="192" t="s">
        <v>151</v>
      </c>
      <c r="H112" s="209">
        <v>0.06</v>
      </c>
    </row>
    <row r="113" spans="7:8" x14ac:dyDescent="0.3">
      <c r="G113" s="192" t="s">
        <v>232</v>
      </c>
      <c r="H113" s="209">
        <v>0</v>
      </c>
    </row>
    <row r="114" spans="7:8" x14ac:dyDescent="0.3">
      <c r="G114" s="192" t="s">
        <v>128</v>
      </c>
      <c r="H114" s="209">
        <v>3.5999999999999997E-2</v>
      </c>
    </row>
    <row r="115" spans="7:8" x14ac:dyDescent="0.3">
      <c r="G115" s="192" t="s">
        <v>153</v>
      </c>
      <c r="H115" s="209">
        <v>3.7999999999999999E-2</v>
      </c>
    </row>
    <row r="116" spans="7:8" x14ac:dyDescent="0.3">
      <c r="G116" s="192" t="s">
        <v>125</v>
      </c>
      <c r="H116" s="209">
        <v>0.04</v>
      </c>
    </row>
    <row r="117" spans="7:8" x14ac:dyDescent="0.3">
      <c r="G117" s="192" t="s">
        <v>154</v>
      </c>
      <c r="H117" s="209">
        <v>2.8000000000000001E-2</v>
      </c>
    </row>
    <row r="118" spans="7:8" x14ac:dyDescent="0.3">
      <c r="G118" s="192" t="s">
        <v>155</v>
      </c>
      <c r="H118" s="209">
        <v>3.2000000000000001E-2</v>
      </c>
    </row>
    <row r="119" spans="7:8" x14ac:dyDescent="0.3">
      <c r="G119" s="192" t="s">
        <v>156</v>
      </c>
      <c r="H119" s="209">
        <v>3.5999999999999997E-2</v>
      </c>
    </row>
    <row r="120" spans="7:8" x14ac:dyDescent="0.3">
      <c r="G120" s="192" t="s">
        <v>157</v>
      </c>
      <c r="H120" s="209">
        <v>0.02</v>
      </c>
    </row>
    <row r="121" spans="7:8" x14ac:dyDescent="0.3">
      <c r="G121" s="192" t="s">
        <v>158</v>
      </c>
      <c r="H121" s="209">
        <v>2.4E-2</v>
      </c>
    </row>
    <row r="122" spans="7:8" x14ac:dyDescent="0.3">
      <c r="G122" s="192" t="s">
        <v>159</v>
      </c>
      <c r="H122" s="209">
        <v>2.8000000000000001E-2</v>
      </c>
    </row>
    <row r="123" spans="7:8" x14ac:dyDescent="0.3">
      <c r="G123" s="192" t="s">
        <v>228</v>
      </c>
      <c r="H123" s="209">
        <v>0.22</v>
      </c>
    </row>
    <row r="124" spans="7:8" x14ac:dyDescent="0.3">
      <c r="G124" s="192" t="s">
        <v>229</v>
      </c>
      <c r="H124" s="209">
        <v>0.12</v>
      </c>
    </row>
    <row r="125" spans="7:8" x14ac:dyDescent="0.3">
      <c r="G125" s="192" t="s">
        <v>193</v>
      </c>
      <c r="H125" s="209">
        <v>0.7</v>
      </c>
    </row>
    <row r="126" spans="7:8" x14ac:dyDescent="0.3">
      <c r="G126" s="192" t="s">
        <v>190</v>
      </c>
      <c r="H126" s="209">
        <v>1.4</v>
      </c>
    </row>
    <row r="127" spans="7:8" x14ac:dyDescent="0.3">
      <c r="G127" s="192" t="s">
        <v>147</v>
      </c>
      <c r="H127" s="209">
        <v>0.04</v>
      </c>
    </row>
    <row r="128" spans="7:8" x14ac:dyDescent="0.3">
      <c r="G128" s="192" t="s">
        <v>148</v>
      </c>
      <c r="H128" s="209">
        <v>4.3999999999999997E-2</v>
      </c>
    </row>
    <row r="129" spans="7:8" x14ac:dyDescent="0.3">
      <c r="G129" s="192" t="s">
        <v>149</v>
      </c>
      <c r="H129" s="209">
        <v>4.8000000000000001E-2</v>
      </c>
    </row>
    <row r="130" spans="7:8" x14ac:dyDescent="0.3">
      <c r="G130" s="192" t="s">
        <v>150</v>
      </c>
      <c r="H130" s="209">
        <v>5.1999999999999998E-2</v>
      </c>
    </row>
    <row r="131" spans="7:8" x14ac:dyDescent="0.3">
      <c r="G131" s="192" t="s">
        <v>142</v>
      </c>
      <c r="H131" s="209">
        <v>0.06</v>
      </c>
    </row>
    <row r="132" spans="7:8" x14ac:dyDescent="0.3">
      <c r="G132" s="192" t="s">
        <v>222</v>
      </c>
      <c r="H132" s="209">
        <v>0.05</v>
      </c>
    </row>
    <row r="133" spans="7:8" x14ac:dyDescent="0.3">
      <c r="G133" s="192" t="s">
        <v>223</v>
      </c>
      <c r="H133" s="209">
        <v>0.57999999999999996</v>
      </c>
    </row>
    <row r="134" spans="7:8" x14ac:dyDescent="0.3">
      <c r="G134" s="192" t="s">
        <v>189</v>
      </c>
      <c r="H134" s="209">
        <v>2.2999999999999998</v>
      </c>
    </row>
    <row r="135" spans="7:8" x14ac:dyDescent="0.3">
      <c r="G135" s="192" t="s">
        <v>173</v>
      </c>
      <c r="H135" s="209">
        <v>0.52</v>
      </c>
    </row>
    <row r="136" spans="7:8" x14ac:dyDescent="0.3">
      <c r="G136" s="192" t="s">
        <v>217</v>
      </c>
      <c r="H136" s="209">
        <v>60</v>
      </c>
    </row>
    <row r="137" spans="7:8" x14ac:dyDescent="0.3">
      <c r="G137" s="192" t="s">
        <v>119</v>
      </c>
      <c r="H137" s="209">
        <v>2.2999999999999998</v>
      </c>
    </row>
    <row r="138" spans="7:8" x14ac:dyDescent="0.3">
      <c r="G138" s="192" t="s">
        <v>132</v>
      </c>
      <c r="H138" s="209">
        <v>3.5000000000000003E-2</v>
      </c>
    </row>
    <row r="139" spans="7:8" x14ac:dyDescent="0.3">
      <c r="G139" s="192" t="s">
        <v>131</v>
      </c>
      <c r="H139" s="209">
        <v>0.04</v>
      </c>
    </row>
    <row r="140" spans="7:8" x14ac:dyDescent="0.3">
      <c r="G140" s="192" t="s">
        <v>130</v>
      </c>
      <c r="H140" s="209">
        <v>4.4999999999999998E-2</v>
      </c>
    </row>
    <row r="141" spans="7:8" x14ac:dyDescent="0.3">
      <c r="G141" s="192" t="s">
        <v>129</v>
      </c>
      <c r="H141" s="209">
        <v>0.05</v>
      </c>
    </row>
    <row r="142" spans="7:8" x14ac:dyDescent="0.3">
      <c r="G142" s="192" t="s">
        <v>134</v>
      </c>
      <c r="H142" s="209">
        <v>0.04</v>
      </c>
    </row>
    <row r="143" spans="7:8" x14ac:dyDescent="0.3">
      <c r="G143" s="192" t="s">
        <v>133</v>
      </c>
      <c r="H143" s="209">
        <v>4.4999999999999998E-2</v>
      </c>
    </row>
    <row r="144" spans="7:8" x14ac:dyDescent="0.3">
      <c r="G144" s="192" t="s">
        <v>172</v>
      </c>
      <c r="H144" s="209">
        <v>0.44</v>
      </c>
    </row>
    <row r="145" spans="7:8" x14ac:dyDescent="0.3">
      <c r="G145" s="192" t="s">
        <v>160</v>
      </c>
      <c r="H145" s="193">
        <v>0.04</v>
      </c>
    </row>
    <row r="146" spans="7:8" x14ac:dyDescent="0.3">
      <c r="G146" s="240" t="s">
        <v>161</v>
      </c>
      <c r="H146" s="193">
        <v>4.4999999999999998E-2</v>
      </c>
    </row>
    <row r="147" spans="7:8" x14ac:dyDescent="0.3">
      <c r="G147" s="240" t="s">
        <v>162</v>
      </c>
      <c r="H147" s="193">
        <v>0.05</v>
      </c>
    </row>
    <row r="148" spans="7:8" x14ac:dyDescent="0.3">
      <c r="G148" s="240" t="s">
        <v>220</v>
      </c>
      <c r="H148" s="193">
        <v>0.57999999999999996</v>
      </c>
    </row>
    <row r="149" spans="7:8" x14ac:dyDescent="0.3">
      <c r="G149" s="240" t="s">
        <v>182</v>
      </c>
      <c r="H149" s="193">
        <v>0.7</v>
      </c>
    </row>
    <row r="150" spans="7:8" x14ac:dyDescent="0.3">
      <c r="G150" s="240" t="s">
        <v>118</v>
      </c>
      <c r="H150" s="193">
        <v>1.4</v>
      </c>
    </row>
    <row r="151" spans="7:8" x14ac:dyDescent="0.3">
      <c r="G151" s="240" t="s">
        <v>118</v>
      </c>
      <c r="H151" s="193">
        <v>1.4</v>
      </c>
    </row>
    <row r="152" spans="7:8" x14ac:dyDescent="0.3">
      <c r="G152" s="240" t="s">
        <v>181</v>
      </c>
      <c r="H152" s="193">
        <v>1.1000000000000001</v>
      </c>
    </row>
    <row r="153" spans="7:8" x14ac:dyDescent="0.3">
      <c r="H153" s="209"/>
    </row>
    <row r="154" spans="7:8" x14ac:dyDescent="0.3">
      <c r="H154" s="209"/>
    </row>
    <row r="155" spans="7:8" x14ac:dyDescent="0.3">
      <c r="H155" s="209"/>
    </row>
    <row r="156" spans="7:8" x14ac:dyDescent="0.3">
      <c r="H156" s="209"/>
    </row>
    <row r="157" spans="7:8" x14ac:dyDescent="0.3">
      <c r="H157" s="209"/>
    </row>
    <row r="158" spans="7:8" x14ac:dyDescent="0.3">
      <c r="H158" s="209"/>
    </row>
    <row r="159" spans="7:8" x14ac:dyDescent="0.3">
      <c r="H159" s="209"/>
    </row>
    <row r="160" spans="7:8" x14ac:dyDescent="0.3">
      <c r="H160" s="209"/>
    </row>
    <row r="161" spans="8:8" x14ac:dyDescent="0.3">
      <c r="H161" s="209"/>
    </row>
    <row r="162" spans="8:8" x14ac:dyDescent="0.3">
      <c r="H162" s="209"/>
    </row>
    <row r="163" spans="8:8" x14ac:dyDescent="0.3">
      <c r="H163" s="209"/>
    </row>
    <row r="164" spans="8:8" x14ac:dyDescent="0.3">
      <c r="H164" s="209"/>
    </row>
    <row r="165" spans="8:8" x14ac:dyDescent="0.3">
      <c r="H165" s="209"/>
    </row>
    <row r="166" spans="8:8" x14ac:dyDescent="0.3">
      <c r="H166" s="209"/>
    </row>
    <row r="167" spans="8:8" x14ac:dyDescent="0.3">
      <c r="H167" s="209"/>
    </row>
    <row r="168" spans="8:8" x14ac:dyDescent="0.3">
      <c r="H168" s="209"/>
    </row>
    <row r="169" spans="8:8" x14ac:dyDescent="0.3">
      <c r="H169" s="209"/>
    </row>
    <row r="170" spans="8:8" x14ac:dyDescent="0.3">
      <c r="H170" s="209"/>
    </row>
    <row r="171" spans="8:8" x14ac:dyDescent="0.3">
      <c r="H171" s="209"/>
    </row>
    <row r="172" spans="8:8" x14ac:dyDescent="0.3">
      <c r="H172" s="209"/>
    </row>
    <row r="173" spans="8:8" x14ac:dyDescent="0.3">
      <c r="H173" s="209"/>
    </row>
    <row r="174" spans="8:8" x14ac:dyDescent="0.3">
      <c r="H174" s="209"/>
    </row>
    <row r="175" spans="8:8" x14ac:dyDescent="0.3">
      <c r="H175" s="209"/>
    </row>
    <row r="176" spans="8:8" x14ac:dyDescent="0.3">
      <c r="H176" s="209"/>
    </row>
    <row r="177" spans="7:8" x14ac:dyDescent="0.3">
      <c r="H177" s="209"/>
    </row>
    <row r="178" spans="7:8" x14ac:dyDescent="0.3">
      <c r="H178" s="209"/>
    </row>
    <row r="179" spans="7:8" x14ac:dyDescent="0.3">
      <c r="G179" s="192" t="s">
        <v>311</v>
      </c>
      <c r="H179" s="209" t="s">
        <v>311</v>
      </c>
    </row>
    <row r="180" spans="7:8" x14ac:dyDescent="0.3">
      <c r="G180" s="192" t="s">
        <v>311</v>
      </c>
      <c r="H180" s="209" t="s">
        <v>311</v>
      </c>
    </row>
    <row r="181" spans="7:8" x14ac:dyDescent="0.3">
      <c r="G181" s="192" t="s">
        <v>311</v>
      </c>
      <c r="H181" s="209" t="s">
        <v>311</v>
      </c>
    </row>
    <row r="182" spans="7:8" x14ac:dyDescent="0.3">
      <c r="G182" s="192" t="s">
        <v>311</v>
      </c>
      <c r="H182" s="209" t="s">
        <v>311</v>
      </c>
    </row>
    <row r="183" spans="7:8" x14ac:dyDescent="0.3">
      <c r="G183" s="192" t="s">
        <v>311</v>
      </c>
      <c r="H183" s="209" t="s">
        <v>311</v>
      </c>
    </row>
    <row r="184" spans="7:8" x14ac:dyDescent="0.3">
      <c r="G184" s="192" t="s">
        <v>311</v>
      </c>
      <c r="H184" s="209" t="s">
        <v>311</v>
      </c>
    </row>
    <row r="185" spans="7:8" x14ac:dyDescent="0.3">
      <c r="G185" s="192" t="s">
        <v>311</v>
      </c>
      <c r="H185" s="209" t="s">
        <v>311</v>
      </c>
    </row>
    <row r="186" spans="7:8" x14ac:dyDescent="0.3">
      <c r="G186" s="192" t="s">
        <v>311</v>
      </c>
      <c r="H186" s="209" t="s">
        <v>311</v>
      </c>
    </row>
    <row r="187" spans="7:8" x14ac:dyDescent="0.3">
      <c r="G187" s="192" t="s">
        <v>311</v>
      </c>
      <c r="H187" s="209" t="s">
        <v>311</v>
      </c>
    </row>
    <row r="188" spans="7:8" x14ac:dyDescent="0.3">
      <c r="G188" s="192" t="s">
        <v>311</v>
      </c>
      <c r="H188" s="209" t="s">
        <v>311</v>
      </c>
    </row>
    <row r="189" spans="7:8" x14ac:dyDescent="0.3">
      <c r="G189" s="192" t="s">
        <v>311</v>
      </c>
      <c r="H189" s="209" t="s">
        <v>311</v>
      </c>
    </row>
    <row r="190" spans="7:8" x14ac:dyDescent="0.3">
      <c r="G190" s="192" t="s">
        <v>311</v>
      </c>
      <c r="H190" s="209" t="s">
        <v>311</v>
      </c>
    </row>
    <row r="191" spans="7:8" x14ac:dyDescent="0.3">
      <c r="G191" s="192" t="s">
        <v>311</v>
      </c>
      <c r="H191" s="193" t="s">
        <v>311</v>
      </c>
    </row>
    <row r="192" spans="7:8" x14ac:dyDescent="0.3">
      <c r="G192" s="195" t="s">
        <v>311</v>
      </c>
      <c r="H192" s="193" t="s">
        <v>311</v>
      </c>
    </row>
    <row r="193" spans="7:8" x14ac:dyDescent="0.3">
      <c r="G193" s="196" t="s">
        <v>311</v>
      </c>
      <c r="H193" s="193" t="s">
        <v>311</v>
      </c>
    </row>
    <row r="194" spans="7:8" x14ac:dyDescent="0.3">
      <c r="G194" s="196" t="s">
        <v>311</v>
      </c>
      <c r="H194" s="193" t="s">
        <v>311</v>
      </c>
    </row>
    <row r="195" spans="7:8" x14ac:dyDescent="0.3">
      <c r="G195" s="196" t="s">
        <v>311</v>
      </c>
      <c r="H195" s="193" t="s">
        <v>311</v>
      </c>
    </row>
    <row r="196" spans="7:8" x14ac:dyDescent="0.3">
      <c r="G196" s="196" t="s">
        <v>311</v>
      </c>
      <c r="H196" s="193" t="s">
        <v>311</v>
      </c>
    </row>
    <row r="197" spans="7:8" x14ac:dyDescent="0.3">
      <c r="G197" s="195" t="s">
        <v>311</v>
      </c>
      <c r="H197" s="193" t="s">
        <v>311</v>
      </c>
    </row>
    <row r="198" spans="7:8" x14ac:dyDescent="0.3">
      <c r="G198" s="195" t="s">
        <v>311</v>
      </c>
      <c r="H198" s="193" t="s">
        <v>311</v>
      </c>
    </row>
    <row r="199" spans="7:8" x14ac:dyDescent="0.3">
      <c r="G199" s="192" t="s">
        <v>311</v>
      </c>
      <c r="H199" s="209" t="s">
        <v>311</v>
      </c>
    </row>
    <row r="200" spans="7:8" x14ac:dyDescent="0.3">
      <c r="G200" s="192" t="s">
        <v>311</v>
      </c>
      <c r="H200" s="209" t="s">
        <v>311</v>
      </c>
    </row>
    <row r="201" spans="7:8" x14ac:dyDescent="0.3">
      <c r="G201" s="192" t="s">
        <v>311</v>
      </c>
      <c r="H201" s="209" t="s">
        <v>311</v>
      </c>
    </row>
    <row r="202" spans="7:8" x14ac:dyDescent="0.3">
      <c r="G202" s="192" t="s">
        <v>311</v>
      </c>
      <c r="H202" s="209" t="s">
        <v>311</v>
      </c>
    </row>
    <row r="203" spans="7:8" x14ac:dyDescent="0.3">
      <c r="G203" s="192" t="s">
        <v>311</v>
      </c>
      <c r="H203" s="209" t="s">
        <v>311</v>
      </c>
    </row>
    <row r="204" spans="7:8" x14ac:dyDescent="0.3">
      <c r="G204" s="192" t="s">
        <v>311</v>
      </c>
      <c r="H204" s="209" t="s">
        <v>311</v>
      </c>
    </row>
    <row r="205" spans="7:8" x14ac:dyDescent="0.3">
      <c r="G205" s="192" t="s">
        <v>311</v>
      </c>
      <c r="H205" s="209" t="s">
        <v>311</v>
      </c>
    </row>
    <row r="206" spans="7:8" x14ac:dyDescent="0.3">
      <c r="G206" s="192" t="s">
        <v>311</v>
      </c>
      <c r="H206" s="209" t="s">
        <v>311</v>
      </c>
    </row>
    <row r="207" spans="7:8" x14ac:dyDescent="0.3">
      <c r="G207" s="192" t="s">
        <v>311</v>
      </c>
      <c r="H207" s="209" t="s">
        <v>311</v>
      </c>
    </row>
    <row r="208" spans="7:8" x14ac:dyDescent="0.3">
      <c r="G208" s="192" t="s">
        <v>311</v>
      </c>
      <c r="H208" s="209" t="s">
        <v>311</v>
      </c>
    </row>
    <row r="209" spans="7:8" x14ac:dyDescent="0.3">
      <c r="G209" s="192" t="s">
        <v>311</v>
      </c>
      <c r="H209" s="209" t="s">
        <v>311</v>
      </c>
    </row>
    <row r="210" spans="7:8" x14ac:dyDescent="0.3">
      <c r="G210" s="192" t="s">
        <v>311</v>
      </c>
      <c r="H210" s="209" t="s">
        <v>311</v>
      </c>
    </row>
    <row r="211" spans="7:8" x14ac:dyDescent="0.3">
      <c r="G211" s="192" t="s">
        <v>311</v>
      </c>
      <c r="H211" s="209" t="s">
        <v>311</v>
      </c>
    </row>
    <row r="212" spans="7:8" x14ac:dyDescent="0.3">
      <c r="G212" s="192" t="s">
        <v>311</v>
      </c>
      <c r="H212" s="209" t="s">
        <v>311</v>
      </c>
    </row>
    <row r="213" spans="7:8" x14ac:dyDescent="0.3">
      <c r="G213" s="192" t="s">
        <v>311</v>
      </c>
      <c r="H213" s="209" t="s">
        <v>311</v>
      </c>
    </row>
    <row r="214" spans="7:8" x14ac:dyDescent="0.3">
      <c r="G214" s="192" t="s">
        <v>311</v>
      </c>
      <c r="H214" s="209" t="s">
        <v>311</v>
      </c>
    </row>
    <row r="215" spans="7:8" x14ac:dyDescent="0.3">
      <c r="G215" s="192" t="s">
        <v>311</v>
      </c>
      <c r="H215" s="209" t="s">
        <v>311</v>
      </c>
    </row>
    <row r="216" spans="7:8" x14ac:dyDescent="0.3">
      <c r="G216" s="192" t="s">
        <v>311</v>
      </c>
      <c r="H216" s="209" t="s">
        <v>311</v>
      </c>
    </row>
    <row r="217" spans="7:8" x14ac:dyDescent="0.3">
      <c r="G217" s="192" t="s">
        <v>311</v>
      </c>
      <c r="H217" s="209" t="s">
        <v>311</v>
      </c>
    </row>
    <row r="218" spans="7:8" x14ac:dyDescent="0.3">
      <c r="G218" s="192" t="s">
        <v>311</v>
      </c>
      <c r="H218" s="209" t="s">
        <v>311</v>
      </c>
    </row>
    <row r="219" spans="7:8" x14ac:dyDescent="0.3">
      <c r="G219" s="192" t="s">
        <v>311</v>
      </c>
      <c r="H219" s="209" t="s">
        <v>311</v>
      </c>
    </row>
    <row r="220" spans="7:8" x14ac:dyDescent="0.3">
      <c r="G220" s="192" t="s">
        <v>311</v>
      </c>
      <c r="H220" s="209" t="s">
        <v>311</v>
      </c>
    </row>
    <row r="221" spans="7:8" x14ac:dyDescent="0.3">
      <c r="G221" s="192" t="s">
        <v>311</v>
      </c>
      <c r="H221" s="209" t="s">
        <v>311</v>
      </c>
    </row>
    <row r="222" spans="7:8" x14ac:dyDescent="0.3">
      <c r="G222" s="192" t="s">
        <v>311</v>
      </c>
      <c r="H222" s="209" t="s">
        <v>311</v>
      </c>
    </row>
    <row r="223" spans="7:8" x14ac:dyDescent="0.3">
      <c r="G223" s="192" t="s">
        <v>311</v>
      </c>
      <c r="H223" s="209" t="s">
        <v>311</v>
      </c>
    </row>
    <row r="224" spans="7:8" x14ac:dyDescent="0.3">
      <c r="G224" s="192" t="s">
        <v>311</v>
      </c>
      <c r="H224" s="209" t="s">
        <v>311</v>
      </c>
    </row>
    <row r="225" spans="7:8" x14ac:dyDescent="0.3">
      <c r="G225" s="192" t="s">
        <v>311</v>
      </c>
      <c r="H225" s="209" t="s">
        <v>311</v>
      </c>
    </row>
    <row r="226" spans="7:8" x14ac:dyDescent="0.3">
      <c r="G226" s="192" t="s">
        <v>311</v>
      </c>
      <c r="H226" s="209" t="s">
        <v>311</v>
      </c>
    </row>
    <row r="227" spans="7:8" x14ac:dyDescent="0.3">
      <c r="G227" s="192" t="s">
        <v>311</v>
      </c>
      <c r="H227" s="209" t="s">
        <v>311</v>
      </c>
    </row>
    <row r="228" spans="7:8" x14ac:dyDescent="0.3">
      <c r="G228" s="192" t="s">
        <v>311</v>
      </c>
      <c r="H228" s="209" t="s">
        <v>311</v>
      </c>
    </row>
    <row r="229" spans="7:8" x14ac:dyDescent="0.3">
      <c r="G229" s="192" t="s">
        <v>311</v>
      </c>
      <c r="H229" s="209" t="s">
        <v>311</v>
      </c>
    </row>
    <row r="230" spans="7:8" x14ac:dyDescent="0.3">
      <c r="G230" s="192" t="s">
        <v>311</v>
      </c>
      <c r="H230" s="209" t="s">
        <v>311</v>
      </c>
    </row>
    <row r="231" spans="7:8" x14ac:dyDescent="0.3">
      <c r="G231" s="192" t="s">
        <v>311</v>
      </c>
      <c r="H231" s="209" t="s">
        <v>311</v>
      </c>
    </row>
    <row r="232" spans="7:8" x14ac:dyDescent="0.3">
      <c r="G232" s="192" t="s">
        <v>311</v>
      </c>
      <c r="H232" s="209" t="s">
        <v>311</v>
      </c>
    </row>
    <row r="233" spans="7:8" x14ac:dyDescent="0.3">
      <c r="G233" s="192" t="s">
        <v>311</v>
      </c>
      <c r="H233" s="209" t="s">
        <v>311</v>
      </c>
    </row>
    <row r="234" spans="7:8" x14ac:dyDescent="0.3">
      <c r="G234" s="192" t="s">
        <v>311</v>
      </c>
      <c r="H234" s="209" t="s">
        <v>311</v>
      </c>
    </row>
    <row r="235" spans="7:8" x14ac:dyDescent="0.3">
      <c r="G235" s="192" t="s">
        <v>311</v>
      </c>
      <c r="H235" s="209" t="s">
        <v>311</v>
      </c>
    </row>
    <row r="236" spans="7:8" x14ac:dyDescent="0.3">
      <c r="G236" s="192" t="s">
        <v>311</v>
      </c>
      <c r="H236" s="209" t="s">
        <v>311</v>
      </c>
    </row>
    <row r="237" spans="7:8" x14ac:dyDescent="0.3">
      <c r="G237" s="192" t="s">
        <v>311</v>
      </c>
      <c r="H237" s="209" t="s">
        <v>311</v>
      </c>
    </row>
    <row r="238" spans="7:8" x14ac:dyDescent="0.3">
      <c r="G238" s="192" t="s">
        <v>311</v>
      </c>
      <c r="H238" s="193" t="s">
        <v>311</v>
      </c>
    </row>
    <row r="239" spans="7:8" x14ac:dyDescent="0.3">
      <c r="G239" s="195" t="s">
        <v>311</v>
      </c>
      <c r="H239" s="193" t="s">
        <v>311</v>
      </c>
    </row>
    <row r="240" spans="7:8" x14ac:dyDescent="0.3">
      <c r="G240" s="196" t="s">
        <v>311</v>
      </c>
      <c r="H240" s="193" t="s">
        <v>311</v>
      </c>
    </row>
    <row r="241" spans="7:8" x14ac:dyDescent="0.3">
      <c r="G241" s="196" t="s">
        <v>311</v>
      </c>
      <c r="H241" s="193" t="s">
        <v>311</v>
      </c>
    </row>
    <row r="242" spans="7:8" x14ac:dyDescent="0.3">
      <c r="G242" s="196" t="s">
        <v>311</v>
      </c>
      <c r="H242" s="193" t="s">
        <v>311</v>
      </c>
    </row>
    <row r="243" spans="7:8" x14ac:dyDescent="0.3">
      <c r="G243" s="196" t="s">
        <v>311</v>
      </c>
      <c r="H243" s="193" t="s">
        <v>311</v>
      </c>
    </row>
    <row r="244" spans="7:8" x14ac:dyDescent="0.3">
      <c r="G244" s="195" t="s">
        <v>311</v>
      </c>
      <c r="H244" s="193" t="s">
        <v>311</v>
      </c>
    </row>
    <row r="245" spans="7:8" x14ac:dyDescent="0.3">
      <c r="G245" s="195" t="s">
        <v>311</v>
      </c>
      <c r="H245" s="193" t="s">
        <v>311</v>
      </c>
    </row>
    <row r="246" spans="7:8" x14ac:dyDescent="0.3">
      <c r="G246" s="192" t="s">
        <v>311</v>
      </c>
      <c r="H246" s="209" t="s">
        <v>311</v>
      </c>
    </row>
    <row r="247" spans="7:8" x14ac:dyDescent="0.3">
      <c r="G247" s="192" t="s">
        <v>311</v>
      </c>
      <c r="H247" s="209" t="s">
        <v>311</v>
      </c>
    </row>
    <row r="248" spans="7:8" x14ac:dyDescent="0.3">
      <c r="G248" s="192" t="s">
        <v>311</v>
      </c>
      <c r="H248" s="209" t="s">
        <v>311</v>
      </c>
    </row>
    <row r="249" spans="7:8" x14ac:dyDescent="0.3">
      <c r="G249" s="192" t="s">
        <v>311</v>
      </c>
      <c r="H249" s="209" t="s">
        <v>311</v>
      </c>
    </row>
    <row r="250" spans="7:8" x14ac:dyDescent="0.3">
      <c r="G250" s="192" t="s">
        <v>311</v>
      </c>
      <c r="H250" s="209" t="s">
        <v>311</v>
      </c>
    </row>
    <row r="251" spans="7:8" x14ac:dyDescent="0.3">
      <c r="G251" s="192" t="s">
        <v>311</v>
      </c>
      <c r="H251" s="209" t="s">
        <v>311</v>
      </c>
    </row>
    <row r="252" spans="7:8" x14ac:dyDescent="0.3">
      <c r="G252" s="192" t="s">
        <v>311</v>
      </c>
      <c r="H252" s="209" t="s">
        <v>311</v>
      </c>
    </row>
    <row r="253" spans="7:8" x14ac:dyDescent="0.3">
      <c r="G253" s="192" t="s">
        <v>311</v>
      </c>
      <c r="H253" s="209" t="s">
        <v>311</v>
      </c>
    </row>
    <row r="254" spans="7:8" x14ac:dyDescent="0.3">
      <c r="G254" s="192" t="s">
        <v>311</v>
      </c>
      <c r="H254" s="209" t="s">
        <v>311</v>
      </c>
    </row>
    <row r="255" spans="7:8" x14ac:dyDescent="0.3">
      <c r="G255" s="192" t="s">
        <v>311</v>
      </c>
      <c r="H255" s="209" t="s">
        <v>311</v>
      </c>
    </row>
    <row r="256" spans="7:8" x14ac:dyDescent="0.3">
      <c r="G256" s="192" t="s">
        <v>311</v>
      </c>
      <c r="H256" s="209" t="s">
        <v>311</v>
      </c>
    </row>
    <row r="257" spans="7:8" x14ac:dyDescent="0.3">
      <c r="G257" s="192" t="s">
        <v>311</v>
      </c>
      <c r="H257" s="209" t="s">
        <v>311</v>
      </c>
    </row>
    <row r="258" spans="7:8" x14ac:dyDescent="0.3">
      <c r="G258" s="192" t="s">
        <v>311</v>
      </c>
      <c r="H258" s="209" t="s">
        <v>311</v>
      </c>
    </row>
    <row r="259" spans="7:8" x14ac:dyDescent="0.3">
      <c r="G259" s="192" t="s">
        <v>311</v>
      </c>
      <c r="H259" s="209" t="s">
        <v>311</v>
      </c>
    </row>
    <row r="260" spans="7:8" x14ac:dyDescent="0.3">
      <c r="G260" s="192" t="s">
        <v>311</v>
      </c>
      <c r="H260" s="209" t="s">
        <v>311</v>
      </c>
    </row>
    <row r="261" spans="7:8" x14ac:dyDescent="0.3">
      <c r="G261" s="192" t="s">
        <v>311</v>
      </c>
      <c r="H261" s="209" t="s">
        <v>311</v>
      </c>
    </row>
    <row r="262" spans="7:8" x14ac:dyDescent="0.3">
      <c r="G262" s="192" t="s">
        <v>311</v>
      </c>
      <c r="H262" s="209" t="s">
        <v>311</v>
      </c>
    </row>
    <row r="263" spans="7:8" x14ac:dyDescent="0.3">
      <c r="G263" s="192" t="s">
        <v>311</v>
      </c>
      <c r="H263" s="209" t="s">
        <v>311</v>
      </c>
    </row>
    <row r="264" spans="7:8" x14ac:dyDescent="0.3">
      <c r="G264" s="192" t="s">
        <v>311</v>
      </c>
      <c r="H264" s="209" t="s">
        <v>311</v>
      </c>
    </row>
    <row r="265" spans="7:8" x14ac:dyDescent="0.3">
      <c r="G265" s="192" t="s">
        <v>311</v>
      </c>
      <c r="H265" s="209" t="s">
        <v>311</v>
      </c>
    </row>
    <row r="266" spans="7:8" x14ac:dyDescent="0.3">
      <c r="G266" s="192" t="s">
        <v>311</v>
      </c>
      <c r="H266" s="209" t="s">
        <v>311</v>
      </c>
    </row>
    <row r="267" spans="7:8" x14ac:dyDescent="0.3">
      <c r="G267" s="192" t="s">
        <v>311</v>
      </c>
      <c r="H267" s="209" t="s">
        <v>311</v>
      </c>
    </row>
    <row r="268" spans="7:8" x14ac:dyDescent="0.3">
      <c r="G268" s="192" t="s">
        <v>311</v>
      </c>
      <c r="H268" s="209" t="s">
        <v>311</v>
      </c>
    </row>
    <row r="269" spans="7:8" x14ac:dyDescent="0.3">
      <c r="G269" s="192" t="s">
        <v>311</v>
      </c>
      <c r="H269" s="209" t="s">
        <v>311</v>
      </c>
    </row>
    <row r="270" spans="7:8" x14ac:dyDescent="0.3">
      <c r="G270" s="192" t="s">
        <v>311</v>
      </c>
      <c r="H270" s="209" t="s">
        <v>311</v>
      </c>
    </row>
    <row r="271" spans="7:8" x14ac:dyDescent="0.3">
      <c r="G271" s="192" t="s">
        <v>311</v>
      </c>
      <c r="H271" s="209" t="s">
        <v>311</v>
      </c>
    </row>
    <row r="272" spans="7:8" x14ac:dyDescent="0.3">
      <c r="G272" s="192" t="s">
        <v>311</v>
      </c>
      <c r="H272" s="209" t="s">
        <v>311</v>
      </c>
    </row>
    <row r="273" spans="7:8" x14ac:dyDescent="0.3">
      <c r="G273" s="192" t="s">
        <v>311</v>
      </c>
      <c r="H273" s="209" t="s">
        <v>311</v>
      </c>
    </row>
    <row r="274" spans="7:8" x14ac:dyDescent="0.3">
      <c r="G274" s="192" t="s">
        <v>311</v>
      </c>
      <c r="H274" s="209" t="s">
        <v>311</v>
      </c>
    </row>
    <row r="275" spans="7:8" x14ac:dyDescent="0.3">
      <c r="G275" s="192" t="s">
        <v>311</v>
      </c>
      <c r="H275" s="209" t="s">
        <v>311</v>
      </c>
    </row>
    <row r="276" spans="7:8" x14ac:dyDescent="0.3">
      <c r="G276" s="192" t="s">
        <v>311</v>
      </c>
      <c r="H276" s="209" t="s">
        <v>311</v>
      </c>
    </row>
    <row r="277" spans="7:8" x14ac:dyDescent="0.3">
      <c r="G277" s="192" t="s">
        <v>311</v>
      </c>
      <c r="H277" s="209" t="s">
        <v>311</v>
      </c>
    </row>
    <row r="278" spans="7:8" x14ac:dyDescent="0.3">
      <c r="G278" s="192" t="s">
        <v>311</v>
      </c>
      <c r="H278" s="209" t="s">
        <v>311</v>
      </c>
    </row>
    <row r="279" spans="7:8" x14ac:dyDescent="0.3">
      <c r="G279" s="192" t="s">
        <v>311</v>
      </c>
      <c r="H279" s="209" t="s">
        <v>311</v>
      </c>
    </row>
    <row r="280" spans="7:8" x14ac:dyDescent="0.3">
      <c r="G280" s="192" t="s">
        <v>311</v>
      </c>
      <c r="H280" s="209" t="s">
        <v>311</v>
      </c>
    </row>
    <row r="281" spans="7:8" x14ac:dyDescent="0.3">
      <c r="G281" s="192" t="s">
        <v>311</v>
      </c>
      <c r="H281" s="209" t="s">
        <v>311</v>
      </c>
    </row>
    <row r="282" spans="7:8" x14ac:dyDescent="0.3">
      <c r="G282" s="192" t="s">
        <v>311</v>
      </c>
      <c r="H282" s="209" t="s">
        <v>311</v>
      </c>
    </row>
    <row r="283" spans="7:8" x14ac:dyDescent="0.3">
      <c r="G283" s="192" t="s">
        <v>311</v>
      </c>
      <c r="H283" s="209" t="s">
        <v>311</v>
      </c>
    </row>
    <row r="284" spans="7:8" x14ac:dyDescent="0.3">
      <c r="G284" s="192" t="s">
        <v>311</v>
      </c>
      <c r="H284" s="209" t="s">
        <v>311</v>
      </c>
    </row>
    <row r="285" spans="7:8" x14ac:dyDescent="0.3">
      <c r="G285" s="192" t="s">
        <v>311</v>
      </c>
      <c r="H285" s="193" t="s">
        <v>311</v>
      </c>
    </row>
    <row r="286" spans="7:8" x14ac:dyDescent="0.3">
      <c r="G286" s="192" t="s">
        <v>311</v>
      </c>
      <c r="H286" s="193" t="s">
        <v>311</v>
      </c>
    </row>
    <row r="287" spans="7:8" x14ac:dyDescent="0.3">
      <c r="G287" s="192" t="s">
        <v>311</v>
      </c>
      <c r="H287" s="193" t="s">
        <v>311</v>
      </c>
    </row>
    <row r="288" spans="7:8" x14ac:dyDescent="0.3">
      <c r="G288" s="192" t="s">
        <v>311</v>
      </c>
      <c r="H288" s="193" t="s">
        <v>311</v>
      </c>
    </row>
    <row r="289" spans="7:8" x14ac:dyDescent="0.3">
      <c r="G289" s="192" t="s">
        <v>311</v>
      </c>
      <c r="H289" s="193" t="s">
        <v>311</v>
      </c>
    </row>
    <row r="290" spans="7:8" x14ac:dyDescent="0.3">
      <c r="G290" s="192" t="s">
        <v>311</v>
      </c>
      <c r="H290" s="193" t="s">
        <v>311</v>
      </c>
    </row>
    <row r="291" spans="7:8" x14ac:dyDescent="0.3">
      <c r="G291" s="192" t="s">
        <v>311</v>
      </c>
      <c r="H291" s="193" t="s">
        <v>311</v>
      </c>
    </row>
    <row r="292" spans="7:8" x14ac:dyDescent="0.3">
      <c r="G292" s="192" t="s">
        <v>311</v>
      </c>
      <c r="H292" s="193" t="s">
        <v>311</v>
      </c>
    </row>
    <row r="293" spans="7:8" x14ac:dyDescent="0.3">
      <c r="G293" s="192" t="s">
        <v>311</v>
      </c>
      <c r="H293" s="193" t="s">
        <v>311</v>
      </c>
    </row>
    <row r="294" spans="7:8" x14ac:dyDescent="0.3">
      <c r="G294" s="192" t="s">
        <v>311</v>
      </c>
      <c r="H294" s="193" t="s">
        <v>311</v>
      </c>
    </row>
    <row r="295" spans="7:8" x14ac:dyDescent="0.3">
      <c r="G295" s="192" t="s">
        <v>311</v>
      </c>
      <c r="H295" s="193" t="s">
        <v>311</v>
      </c>
    </row>
    <row r="296" spans="7:8" x14ac:dyDescent="0.3">
      <c r="G296" s="192" t="s">
        <v>311</v>
      </c>
      <c r="H296" s="193" t="s">
        <v>311</v>
      </c>
    </row>
    <row r="297" spans="7:8" x14ac:dyDescent="0.3">
      <c r="G297" s="192" t="s">
        <v>311</v>
      </c>
      <c r="H297" s="193" t="s">
        <v>311</v>
      </c>
    </row>
    <row r="298" spans="7:8" x14ac:dyDescent="0.3">
      <c r="G298" s="192" t="s">
        <v>311</v>
      </c>
      <c r="H298" s="193" t="s">
        <v>311</v>
      </c>
    </row>
    <row r="299" spans="7:8" x14ac:dyDescent="0.3">
      <c r="G299" s="192" t="s">
        <v>311</v>
      </c>
      <c r="H299" s="193" t="s">
        <v>311</v>
      </c>
    </row>
    <row r="300" spans="7:8" x14ac:dyDescent="0.3">
      <c r="G300" s="192" t="s">
        <v>311</v>
      </c>
      <c r="H300" s="193" t="s">
        <v>311</v>
      </c>
    </row>
    <row r="301" spans="7:8" x14ac:dyDescent="0.3">
      <c r="G301" s="192" t="s">
        <v>311</v>
      </c>
      <c r="H301" s="193" t="s">
        <v>311</v>
      </c>
    </row>
    <row r="302" spans="7:8" x14ac:dyDescent="0.3">
      <c r="G302" s="192" t="s">
        <v>311</v>
      </c>
      <c r="H302" s="193" t="s">
        <v>311</v>
      </c>
    </row>
    <row r="303" spans="7:8" x14ac:dyDescent="0.3">
      <c r="G303" s="192" t="s">
        <v>311</v>
      </c>
      <c r="H303" s="193" t="s">
        <v>311</v>
      </c>
    </row>
    <row r="304" spans="7:8" x14ac:dyDescent="0.3">
      <c r="G304" s="192" t="s">
        <v>311</v>
      </c>
      <c r="H304" s="193" t="s">
        <v>311</v>
      </c>
    </row>
    <row r="305" spans="7:8" x14ac:dyDescent="0.3">
      <c r="G305" s="192" t="s">
        <v>311</v>
      </c>
      <c r="H305" s="193" t="s">
        <v>311</v>
      </c>
    </row>
    <row r="306" spans="7:8" x14ac:dyDescent="0.3">
      <c r="G306" s="192" t="s">
        <v>311</v>
      </c>
      <c r="H306" s="193" t="s">
        <v>311</v>
      </c>
    </row>
    <row r="307" spans="7:8" x14ac:dyDescent="0.3">
      <c r="G307" s="192" t="s">
        <v>311</v>
      </c>
      <c r="H307" s="193" t="s">
        <v>311</v>
      </c>
    </row>
    <row r="308" spans="7:8" x14ac:dyDescent="0.3">
      <c r="G308" s="192" t="s">
        <v>311</v>
      </c>
      <c r="H308" s="193" t="s">
        <v>311</v>
      </c>
    </row>
    <row r="309" spans="7:8" x14ac:dyDescent="0.3">
      <c r="G309" s="192" t="s">
        <v>311</v>
      </c>
      <c r="H309" s="193" t="s">
        <v>311</v>
      </c>
    </row>
    <row r="310" spans="7:8" x14ac:dyDescent="0.3">
      <c r="G310" s="192" t="s">
        <v>311</v>
      </c>
      <c r="H310" s="193" t="s">
        <v>311</v>
      </c>
    </row>
    <row r="311" spans="7:8" x14ac:dyDescent="0.3">
      <c r="G311" s="192" t="s">
        <v>311</v>
      </c>
      <c r="H311" s="193" t="s">
        <v>311</v>
      </c>
    </row>
    <row r="312" spans="7:8" x14ac:dyDescent="0.3">
      <c r="G312" s="192" t="s">
        <v>311</v>
      </c>
      <c r="H312" s="193" t="s">
        <v>311</v>
      </c>
    </row>
    <row r="313" spans="7:8" x14ac:dyDescent="0.3">
      <c r="G313" s="192" t="s">
        <v>311</v>
      </c>
      <c r="H313" s="193" t="s">
        <v>311</v>
      </c>
    </row>
    <row r="314" spans="7:8" x14ac:dyDescent="0.3">
      <c r="G314" s="192" t="s">
        <v>311</v>
      </c>
      <c r="H314" s="193" t="s">
        <v>311</v>
      </c>
    </row>
    <row r="315" spans="7:8" x14ac:dyDescent="0.3">
      <c r="G315" s="192" t="s">
        <v>311</v>
      </c>
      <c r="H315" s="193" t="s">
        <v>311</v>
      </c>
    </row>
    <row r="316" spans="7:8" x14ac:dyDescent="0.3">
      <c r="G316" s="192" t="s">
        <v>311</v>
      </c>
      <c r="H316" s="193" t="s">
        <v>311</v>
      </c>
    </row>
    <row r="317" spans="7:8" x14ac:dyDescent="0.3">
      <c r="G317" s="192" t="s">
        <v>311</v>
      </c>
      <c r="H317" s="193" t="s">
        <v>311</v>
      </c>
    </row>
    <row r="318" spans="7:8" x14ac:dyDescent="0.3">
      <c r="G318" s="192" t="s">
        <v>311</v>
      </c>
      <c r="H318" s="193" t="s">
        <v>311</v>
      </c>
    </row>
    <row r="319" spans="7:8" x14ac:dyDescent="0.3">
      <c r="G319" s="192" t="s">
        <v>311</v>
      </c>
      <c r="H319" s="193" t="s">
        <v>311</v>
      </c>
    </row>
    <row r="320" spans="7:8" x14ac:dyDescent="0.3">
      <c r="G320" s="192" t="s">
        <v>311</v>
      </c>
      <c r="H320" s="193" t="s">
        <v>311</v>
      </c>
    </row>
    <row r="321" spans="7:8" x14ac:dyDescent="0.3">
      <c r="G321" s="192" t="s">
        <v>311</v>
      </c>
      <c r="H321" s="193" t="s">
        <v>311</v>
      </c>
    </row>
    <row r="322" spans="7:8" x14ac:dyDescent="0.3">
      <c r="G322" s="192" t="s">
        <v>311</v>
      </c>
      <c r="H322" s="193" t="s">
        <v>311</v>
      </c>
    </row>
    <row r="323" spans="7:8" x14ac:dyDescent="0.3">
      <c r="G323" s="192" t="s">
        <v>311</v>
      </c>
      <c r="H323" s="193" t="s">
        <v>311</v>
      </c>
    </row>
    <row r="324" spans="7:8" x14ac:dyDescent="0.3">
      <c r="G324" s="192" t="s">
        <v>311</v>
      </c>
      <c r="H324" s="193" t="s">
        <v>311</v>
      </c>
    </row>
    <row r="325" spans="7:8" x14ac:dyDescent="0.3">
      <c r="G325" s="192" t="s">
        <v>311</v>
      </c>
      <c r="H325" s="193" t="s">
        <v>311</v>
      </c>
    </row>
    <row r="326" spans="7:8" x14ac:dyDescent="0.3">
      <c r="G326" s="192" t="s">
        <v>311</v>
      </c>
      <c r="H326" s="193" t="s">
        <v>311</v>
      </c>
    </row>
    <row r="327" spans="7:8" x14ac:dyDescent="0.3">
      <c r="G327" s="192" t="s">
        <v>311</v>
      </c>
      <c r="H327" s="193" t="s">
        <v>311</v>
      </c>
    </row>
    <row r="328" spans="7:8" x14ac:dyDescent="0.3">
      <c r="G328" s="192" t="s">
        <v>311</v>
      </c>
      <c r="H328" s="193" t="s">
        <v>311</v>
      </c>
    </row>
    <row r="329" spans="7:8" x14ac:dyDescent="0.3">
      <c r="G329" s="192" t="s">
        <v>311</v>
      </c>
      <c r="H329" s="193" t="s">
        <v>311</v>
      </c>
    </row>
    <row r="330" spans="7:8" x14ac:dyDescent="0.3">
      <c r="G330" s="192" t="s">
        <v>311</v>
      </c>
      <c r="H330" s="193" t="s">
        <v>311</v>
      </c>
    </row>
    <row r="331" spans="7:8" x14ac:dyDescent="0.3">
      <c r="G331" s="192" t="s">
        <v>311</v>
      </c>
      <c r="H331" s="193" t="s">
        <v>311</v>
      </c>
    </row>
    <row r="332" spans="7:8" x14ac:dyDescent="0.3">
      <c r="G332" s="192" t="s">
        <v>311</v>
      </c>
      <c r="H332" s="193" t="s">
        <v>311</v>
      </c>
    </row>
    <row r="333" spans="7:8" x14ac:dyDescent="0.3">
      <c r="G333" s="192" t="s">
        <v>311</v>
      </c>
      <c r="H333" s="193" t="s">
        <v>311</v>
      </c>
    </row>
    <row r="334" spans="7:8" x14ac:dyDescent="0.3">
      <c r="G334" s="192" t="s">
        <v>311</v>
      </c>
      <c r="H334" s="193" t="s">
        <v>311</v>
      </c>
    </row>
    <row r="335" spans="7:8" x14ac:dyDescent="0.3">
      <c r="G335" s="192" t="s">
        <v>311</v>
      </c>
      <c r="H335" s="193" t="s">
        <v>311</v>
      </c>
    </row>
    <row r="336" spans="7:8" x14ac:dyDescent="0.3">
      <c r="G336" s="192" t="s">
        <v>311</v>
      </c>
      <c r="H336" s="193" t="s">
        <v>311</v>
      </c>
    </row>
    <row r="337" spans="7:8" x14ac:dyDescent="0.3">
      <c r="G337" s="192" t="s">
        <v>311</v>
      </c>
      <c r="H337" s="193" t="s">
        <v>311</v>
      </c>
    </row>
    <row r="338" spans="7:8" x14ac:dyDescent="0.3">
      <c r="G338" s="192" t="s">
        <v>311</v>
      </c>
      <c r="H338" s="193" t="s">
        <v>311</v>
      </c>
    </row>
    <row r="339" spans="7:8" x14ac:dyDescent="0.3">
      <c r="G339" s="192" t="s">
        <v>311</v>
      </c>
      <c r="H339" s="193" t="s">
        <v>311</v>
      </c>
    </row>
    <row r="340" spans="7:8" x14ac:dyDescent="0.3">
      <c r="G340" s="192" t="s">
        <v>311</v>
      </c>
      <c r="H340" s="193" t="s">
        <v>311</v>
      </c>
    </row>
    <row r="341" spans="7:8" x14ac:dyDescent="0.3">
      <c r="G341" s="192" t="s">
        <v>311</v>
      </c>
      <c r="H341" s="193" t="s">
        <v>311</v>
      </c>
    </row>
    <row r="342" spans="7:8" x14ac:dyDescent="0.3">
      <c r="G342" s="192" t="s">
        <v>311</v>
      </c>
      <c r="H342" s="193" t="s">
        <v>311</v>
      </c>
    </row>
    <row r="343" spans="7:8" x14ac:dyDescent="0.3">
      <c r="G343" s="192" t="s">
        <v>311</v>
      </c>
      <c r="H343" s="193" t="s">
        <v>311</v>
      </c>
    </row>
    <row r="344" spans="7:8" x14ac:dyDescent="0.3">
      <c r="G344" s="192" t="s">
        <v>311</v>
      </c>
      <c r="H344" s="193" t="s">
        <v>311</v>
      </c>
    </row>
    <row r="345" spans="7:8" x14ac:dyDescent="0.3">
      <c r="G345" s="192" t="s">
        <v>311</v>
      </c>
      <c r="H345" s="193" t="s">
        <v>311</v>
      </c>
    </row>
    <row r="346" spans="7:8" x14ac:dyDescent="0.3">
      <c r="G346" s="192" t="s">
        <v>311</v>
      </c>
      <c r="H346" s="193" t="s">
        <v>311</v>
      </c>
    </row>
    <row r="347" spans="7:8" x14ac:dyDescent="0.3">
      <c r="G347" s="192" t="s">
        <v>311</v>
      </c>
      <c r="H347" s="193" t="s">
        <v>311</v>
      </c>
    </row>
    <row r="348" spans="7:8" x14ac:dyDescent="0.3">
      <c r="G348" s="192" t="s">
        <v>311</v>
      </c>
      <c r="H348" s="193" t="s">
        <v>311</v>
      </c>
    </row>
    <row r="349" spans="7:8" x14ac:dyDescent="0.3">
      <c r="G349" s="192" t="s">
        <v>311</v>
      </c>
      <c r="H349" s="193" t="s">
        <v>311</v>
      </c>
    </row>
    <row r="350" spans="7:8" x14ac:dyDescent="0.3">
      <c r="G350" s="192" t="s">
        <v>311</v>
      </c>
      <c r="H350" s="193" t="s">
        <v>311</v>
      </c>
    </row>
    <row r="351" spans="7:8" x14ac:dyDescent="0.3">
      <c r="G351" s="192" t="s">
        <v>311</v>
      </c>
      <c r="H351" s="193" t="s">
        <v>311</v>
      </c>
    </row>
    <row r="352" spans="7:8" x14ac:dyDescent="0.3">
      <c r="G352" s="192" t="s">
        <v>311</v>
      </c>
      <c r="H352" s="193" t="s">
        <v>311</v>
      </c>
    </row>
    <row r="353" spans="7:8" x14ac:dyDescent="0.3">
      <c r="G353" s="192" t="s">
        <v>311</v>
      </c>
      <c r="H353" s="193" t="s">
        <v>311</v>
      </c>
    </row>
    <row r="354" spans="7:8" x14ac:dyDescent="0.3">
      <c r="G354" s="192" t="s">
        <v>311</v>
      </c>
      <c r="H354" s="193" t="s">
        <v>311</v>
      </c>
    </row>
    <row r="355" spans="7:8" x14ac:dyDescent="0.3">
      <c r="G355" s="192" t="s">
        <v>311</v>
      </c>
      <c r="H355" s="193" t="s">
        <v>311</v>
      </c>
    </row>
    <row r="356" spans="7:8" x14ac:dyDescent="0.3">
      <c r="G356" s="192" t="s">
        <v>311</v>
      </c>
      <c r="H356" s="193" t="s">
        <v>311</v>
      </c>
    </row>
    <row r="357" spans="7:8" x14ac:dyDescent="0.3">
      <c r="G357" s="192" t="s">
        <v>311</v>
      </c>
      <c r="H357" s="193" t="s">
        <v>311</v>
      </c>
    </row>
    <row r="358" spans="7:8" x14ac:dyDescent="0.3">
      <c r="G358" s="192" t="s">
        <v>311</v>
      </c>
      <c r="H358" s="193" t="s">
        <v>311</v>
      </c>
    </row>
    <row r="359" spans="7:8" x14ac:dyDescent="0.3">
      <c r="G359" s="192" t="s">
        <v>311</v>
      </c>
      <c r="H359" s="193" t="s">
        <v>311</v>
      </c>
    </row>
    <row r="360" spans="7:8" x14ac:dyDescent="0.3">
      <c r="G360" s="192" t="s">
        <v>311</v>
      </c>
      <c r="H360" s="193" t="s">
        <v>311</v>
      </c>
    </row>
    <row r="361" spans="7:8" x14ac:dyDescent="0.3">
      <c r="G361" s="192" t="s">
        <v>311</v>
      </c>
      <c r="H361" s="193" t="s">
        <v>311</v>
      </c>
    </row>
    <row r="362" spans="7:8" x14ac:dyDescent="0.3">
      <c r="G362" s="192" t="s">
        <v>311</v>
      </c>
      <c r="H362" s="193" t="s">
        <v>311</v>
      </c>
    </row>
    <row r="363" spans="7:8" x14ac:dyDescent="0.3">
      <c r="G363" s="192" t="s">
        <v>311</v>
      </c>
      <c r="H363" s="193" t="s">
        <v>311</v>
      </c>
    </row>
    <row r="364" spans="7:8" x14ac:dyDescent="0.3">
      <c r="G364" s="192" t="s">
        <v>311</v>
      </c>
      <c r="H364" s="193" t="s">
        <v>311</v>
      </c>
    </row>
    <row r="365" spans="7:8" x14ac:dyDescent="0.3">
      <c r="G365" s="192" t="s">
        <v>311</v>
      </c>
      <c r="H365" s="193" t="s">
        <v>311</v>
      </c>
    </row>
    <row r="366" spans="7:8" x14ac:dyDescent="0.3">
      <c r="G366" s="192" t="s">
        <v>311</v>
      </c>
      <c r="H366" s="193" t="s">
        <v>311</v>
      </c>
    </row>
    <row r="367" spans="7:8" x14ac:dyDescent="0.3">
      <c r="G367" s="192" t="s">
        <v>311</v>
      </c>
      <c r="H367" s="193" t="s">
        <v>311</v>
      </c>
    </row>
    <row r="368" spans="7:8" x14ac:dyDescent="0.3">
      <c r="G368" s="192" t="s">
        <v>311</v>
      </c>
      <c r="H368" s="193" t="s">
        <v>311</v>
      </c>
    </row>
    <row r="369" spans="7:8" x14ac:dyDescent="0.3">
      <c r="G369" s="192" t="s">
        <v>311</v>
      </c>
      <c r="H369" s="193" t="s">
        <v>311</v>
      </c>
    </row>
    <row r="370" spans="7:8" x14ac:dyDescent="0.3">
      <c r="G370" s="192" t="s">
        <v>311</v>
      </c>
      <c r="H370" s="193" t="s">
        <v>311</v>
      </c>
    </row>
    <row r="371" spans="7:8" x14ac:dyDescent="0.3">
      <c r="G371" s="192" t="s">
        <v>311</v>
      </c>
      <c r="H371" s="193" t="s">
        <v>311</v>
      </c>
    </row>
    <row r="372" spans="7:8" x14ac:dyDescent="0.3">
      <c r="G372" s="192" t="s">
        <v>311</v>
      </c>
      <c r="H372" s="193" t="s">
        <v>311</v>
      </c>
    </row>
    <row r="373" spans="7:8" x14ac:dyDescent="0.3">
      <c r="G373" s="192" t="s">
        <v>311</v>
      </c>
      <c r="H373" s="193" t="s">
        <v>311</v>
      </c>
    </row>
    <row r="374" spans="7:8" x14ac:dyDescent="0.3">
      <c r="G374" s="192" t="s">
        <v>311</v>
      </c>
      <c r="H374" s="193" t="s">
        <v>311</v>
      </c>
    </row>
    <row r="375" spans="7:8" x14ac:dyDescent="0.3">
      <c r="G375" s="192" t="s">
        <v>311</v>
      </c>
      <c r="H375" s="193" t="s">
        <v>311</v>
      </c>
    </row>
    <row r="376" spans="7:8" x14ac:dyDescent="0.3">
      <c r="G376" s="192" t="s">
        <v>311</v>
      </c>
      <c r="H376" s="193" t="s">
        <v>311</v>
      </c>
    </row>
    <row r="377" spans="7:8" x14ac:dyDescent="0.3">
      <c r="G377" s="192" t="s">
        <v>311</v>
      </c>
      <c r="H377" s="193" t="s">
        <v>311</v>
      </c>
    </row>
    <row r="378" spans="7:8" x14ac:dyDescent="0.3">
      <c r="G378" s="192" t="s">
        <v>311</v>
      </c>
      <c r="H378" s="193" t="s">
        <v>311</v>
      </c>
    </row>
    <row r="379" spans="7:8" x14ac:dyDescent="0.3">
      <c r="G379" s="192" t="s">
        <v>311</v>
      </c>
      <c r="H379" s="193" t="s">
        <v>311</v>
      </c>
    </row>
    <row r="380" spans="7:8" x14ac:dyDescent="0.3">
      <c r="G380" s="192" t="s">
        <v>311</v>
      </c>
      <c r="H380" s="193" t="s">
        <v>311</v>
      </c>
    </row>
    <row r="381" spans="7:8" x14ac:dyDescent="0.3">
      <c r="G381" s="192" t="s">
        <v>311</v>
      </c>
      <c r="H381" s="193" t="s">
        <v>311</v>
      </c>
    </row>
    <row r="382" spans="7:8" x14ac:dyDescent="0.3">
      <c r="G382" s="192" t="s">
        <v>311</v>
      </c>
      <c r="H382" s="193" t="s">
        <v>311</v>
      </c>
    </row>
    <row r="383" spans="7:8" x14ac:dyDescent="0.3">
      <c r="G383" s="192" t="s">
        <v>311</v>
      </c>
      <c r="H383" s="193" t="s">
        <v>311</v>
      </c>
    </row>
    <row r="384" spans="7:8" x14ac:dyDescent="0.3">
      <c r="G384" s="192" t="s">
        <v>311</v>
      </c>
      <c r="H384" s="193" t="s">
        <v>311</v>
      </c>
    </row>
    <row r="385" spans="7:8" x14ac:dyDescent="0.3">
      <c r="G385" s="192" t="s">
        <v>311</v>
      </c>
      <c r="H385" s="193" t="s">
        <v>311</v>
      </c>
    </row>
    <row r="386" spans="7:8" x14ac:dyDescent="0.3">
      <c r="G386" s="192" t="s">
        <v>311</v>
      </c>
      <c r="H386" s="193" t="s">
        <v>311</v>
      </c>
    </row>
    <row r="387" spans="7:8" x14ac:dyDescent="0.3">
      <c r="G387" s="192" t="s">
        <v>311</v>
      </c>
      <c r="H387" s="193" t="s">
        <v>311</v>
      </c>
    </row>
    <row r="388" spans="7:8" x14ac:dyDescent="0.3">
      <c r="G388" s="192" t="s">
        <v>311</v>
      </c>
      <c r="H388" s="193" t="s">
        <v>311</v>
      </c>
    </row>
    <row r="389" spans="7:8" x14ac:dyDescent="0.3">
      <c r="G389" s="192" t="s">
        <v>311</v>
      </c>
      <c r="H389" s="193" t="s">
        <v>311</v>
      </c>
    </row>
    <row r="390" spans="7:8" x14ac:dyDescent="0.3">
      <c r="G390" s="192" t="s">
        <v>311</v>
      </c>
      <c r="H390" s="193" t="s">
        <v>311</v>
      </c>
    </row>
    <row r="391" spans="7:8" x14ac:dyDescent="0.3">
      <c r="G391" s="192" t="s">
        <v>311</v>
      </c>
      <c r="H391" s="193" t="s">
        <v>311</v>
      </c>
    </row>
    <row r="392" spans="7:8" x14ac:dyDescent="0.3">
      <c r="G392" s="192" t="s">
        <v>311</v>
      </c>
      <c r="H392" s="193" t="s">
        <v>311</v>
      </c>
    </row>
    <row r="393" spans="7:8" x14ac:dyDescent="0.3">
      <c r="G393" s="192" t="s">
        <v>311</v>
      </c>
      <c r="H393" s="193" t="s">
        <v>311</v>
      </c>
    </row>
    <row r="394" spans="7:8" x14ac:dyDescent="0.3">
      <c r="G394" s="192" t="s">
        <v>311</v>
      </c>
      <c r="H394" s="193" t="s">
        <v>311</v>
      </c>
    </row>
    <row r="395" spans="7:8" x14ac:dyDescent="0.3">
      <c r="G395" s="192" t="s">
        <v>311</v>
      </c>
      <c r="H395" s="193" t="s">
        <v>311</v>
      </c>
    </row>
    <row r="396" spans="7:8" x14ac:dyDescent="0.3">
      <c r="G396" s="192" t="s">
        <v>311</v>
      </c>
      <c r="H396" s="193" t="s">
        <v>311</v>
      </c>
    </row>
    <row r="397" spans="7:8" x14ac:dyDescent="0.3">
      <c r="G397" s="192" t="s">
        <v>311</v>
      </c>
      <c r="H397" s="193" t="s">
        <v>311</v>
      </c>
    </row>
    <row r="398" spans="7:8" x14ac:dyDescent="0.3">
      <c r="G398" s="192" t="s">
        <v>311</v>
      </c>
      <c r="H398" s="193" t="s">
        <v>311</v>
      </c>
    </row>
    <row r="399" spans="7:8" x14ac:dyDescent="0.3">
      <c r="G399" s="192" t="s">
        <v>311</v>
      </c>
      <c r="H399" s="193" t="s">
        <v>311</v>
      </c>
    </row>
    <row r="400" spans="7:8" x14ac:dyDescent="0.3">
      <c r="G400" s="192" t="s">
        <v>311</v>
      </c>
      <c r="H400" s="193" t="s">
        <v>311</v>
      </c>
    </row>
    <row r="401" spans="7:8" x14ac:dyDescent="0.3">
      <c r="G401" s="192" t="s">
        <v>311</v>
      </c>
      <c r="H401" s="193" t="s">
        <v>311</v>
      </c>
    </row>
    <row r="402" spans="7:8" x14ac:dyDescent="0.3">
      <c r="G402" s="192" t="s">
        <v>311</v>
      </c>
      <c r="H402" s="193" t="s">
        <v>311</v>
      </c>
    </row>
    <row r="403" spans="7:8" x14ac:dyDescent="0.3">
      <c r="G403" s="192" t="s">
        <v>311</v>
      </c>
      <c r="H403" s="193" t="s">
        <v>311</v>
      </c>
    </row>
    <row r="404" spans="7:8" x14ac:dyDescent="0.3">
      <c r="G404" s="192" t="s">
        <v>311</v>
      </c>
      <c r="H404" s="193" t="s">
        <v>311</v>
      </c>
    </row>
    <row r="405" spans="7:8" x14ac:dyDescent="0.3">
      <c r="G405" s="192" t="s">
        <v>311</v>
      </c>
      <c r="H405" s="193" t="s">
        <v>311</v>
      </c>
    </row>
    <row r="406" spans="7:8" x14ac:dyDescent="0.3">
      <c r="G406" s="192" t="s">
        <v>311</v>
      </c>
      <c r="H406" s="193" t="s">
        <v>311</v>
      </c>
    </row>
    <row r="407" spans="7:8" x14ac:dyDescent="0.3">
      <c r="G407" s="192" t="s">
        <v>311</v>
      </c>
      <c r="H407" s="193" t="s">
        <v>311</v>
      </c>
    </row>
    <row r="408" spans="7:8" x14ac:dyDescent="0.3">
      <c r="G408" s="192" t="s">
        <v>311</v>
      </c>
      <c r="H408" s="193" t="s">
        <v>311</v>
      </c>
    </row>
    <row r="409" spans="7:8" x14ac:dyDescent="0.3">
      <c r="G409" s="192" t="s">
        <v>311</v>
      </c>
      <c r="H409" s="193" t="s">
        <v>311</v>
      </c>
    </row>
    <row r="410" spans="7:8" x14ac:dyDescent="0.3">
      <c r="G410" s="192" t="s">
        <v>311</v>
      </c>
      <c r="H410" s="193" t="s">
        <v>311</v>
      </c>
    </row>
    <row r="411" spans="7:8" x14ac:dyDescent="0.3">
      <c r="G411" s="192" t="s">
        <v>311</v>
      </c>
      <c r="H411" s="193" t="s">
        <v>311</v>
      </c>
    </row>
    <row r="412" spans="7:8" x14ac:dyDescent="0.3">
      <c r="G412" s="192" t="s">
        <v>311</v>
      </c>
      <c r="H412" s="193" t="s">
        <v>311</v>
      </c>
    </row>
    <row r="413" spans="7:8" x14ac:dyDescent="0.3">
      <c r="G413" s="192" t="s">
        <v>311</v>
      </c>
      <c r="H413" s="193" t="s">
        <v>311</v>
      </c>
    </row>
    <row r="414" spans="7:8" x14ac:dyDescent="0.3">
      <c r="G414" s="192" t="s">
        <v>311</v>
      </c>
      <c r="H414" s="193" t="s">
        <v>311</v>
      </c>
    </row>
    <row r="415" spans="7:8" x14ac:dyDescent="0.3">
      <c r="G415" s="192" t="s">
        <v>311</v>
      </c>
      <c r="H415" s="193" t="s">
        <v>311</v>
      </c>
    </row>
    <row r="416" spans="7:8" x14ac:dyDescent="0.3">
      <c r="G416" s="192" t="s">
        <v>311</v>
      </c>
      <c r="H416" s="193" t="s">
        <v>311</v>
      </c>
    </row>
    <row r="417" spans="7:8" x14ac:dyDescent="0.3">
      <c r="G417" s="192" t="s">
        <v>311</v>
      </c>
      <c r="H417" s="193" t="s">
        <v>311</v>
      </c>
    </row>
    <row r="418" spans="7:8" x14ac:dyDescent="0.3">
      <c r="G418" s="192" t="s">
        <v>311</v>
      </c>
      <c r="H418" s="193" t="s">
        <v>311</v>
      </c>
    </row>
    <row r="419" spans="7:8" x14ac:dyDescent="0.3">
      <c r="G419" s="192" t="s">
        <v>311</v>
      </c>
      <c r="H419" s="193" t="s">
        <v>311</v>
      </c>
    </row>
    <row r="420" spans="7:8" x14ac:dyDescent="0.3">
      <c r="G420" s="192" t="s">
        <v>311</v>
      </c>
      <c r="H420" s="193" t="s">
        <v>311</v>
      </c>
    </row>
    <row r="421" spans="7:8" x14ac:dyDescent="0.3">
      <c r="G421" s="192" t="s">
        <v>311</v>
      </c>
      <c r="H421" s="193" t="s">
        <v>311</v>
      </c>
    </row>
    <row r="422" spans="7:8" x14ac:dyDescent="0.3">
      <c r="G422" s="192" t="s">
        <v>311</v>
      </c>
      <c r="H422" s="193" t="s">
        <v>311</v>
      </c>
    </row>
    <row r="423" spans="7:8" x14ac:dyDescent="0.3">
      <c r="G423" s="192" t="s">
        <v>311</v>
      </c>
      <c r="H423" s="193" t="s">
        <v>311</v>
      </c>
    </row>
    <row r="424" spans="7:8" x14ac:dyDescent="0.3">
      <c r="G424" s="192" t="s">
        <v>311</v>
      </c>
      <c r="H424" s="193" t="s">
        <v>311</v>
      </c>
    </row>
    <row r="425" spans="7:8" x14ac:dyDescent="0.3">
      <c r="G425" s="192" t="s">
        <v>311</v>
      </c>
      <c r="H425" s="193" t="s">
        <v>311</v>
      </c>
    </row>
    <row r="426" spans="7:8" x14ac:dyDescent="0.3">
      <c r="G426" s="192" t="s">
        <v>311</v>
      </c>
      <c r="H426" s="193" t="s">
        <v>311</v>
      </c>
    </row>
    <row r="427" spans="7:8" x14ac:dyDescent="0.3">
      <c r="G427" s="192" t="s">
        <v>311</v>
      </c>
      <c r="H427" s="193" t="s">
        <v>311</v>
      </c>
    </row>
    <row r="428" spans="7:8" x14ac:dyDescent="0.3">
      <c r="G428" s="192" t="s">
        <v>311</v>
      </c>
      <c r="H428" s="193" t="s">
        <v>311</v>
      </c>
    </row>
    <row r="429" spans="7:8" x14ac:dyDescent="0.3">
      <c r="G429" s="192" t="s">
        <v>311</v>
      </c>
      <c r="H429" s="193" t="s">
        <v>311</v>
      </c>
    </row>
    <row r="430" spans="7:8" x14ac:dyDescent="0.3">
      <c r="G430" s="192" t="s">
        <v>311</v>
      </c>
      <c r="H430" s="193" t="s">
        <v>311</v>
      </c>
    </row>
    <row r="431" spans="7:8" x14ac:dyDescent="0.3">
      <c r="G431" s="192" t="s">
        <v>311</v>
      </c>
      <c r="H431" s="193" t="s">
        <v>311</v>
      </c>
    </row>
    <row r="432" spans="7:8" x14ac:dyDescent="0.3">
      <c r="G432" s="192" t="s">
        <v>311</v>
      </c>
      <c r="H432" s="193" t="s">
        <v>311</v>
      </c>
    </row>
    <row r="433" spans="7:8" x14ac:dyDescent="0.3">
      <c r="G433" s="192" t="s">
        <v>311</v>
      </c>
      <c r="H433" s="193" t="s">
        <v>311</v>
      </c>
    </row>
    <row r="434" spans="7:8" x14ac:dyDescent="0.3">
      <c r="G434" s="192" t="s">
        <v>311</v>
      </c>
      <c r="H434" s="193" t="s">
        <v>311</v>
      </c>
    </row>
    <row r="435" spans="7:8" x14ac:dyDescent="0.3">
      <c r="G435" s="192" t="s">
        <v>311</v>
      </c>
      <c r="H435" s="193" t="s">
        <v>311</v>
      </c>
    </row>
    <row r="436" spans="7:8" x14ac:dyDescent="0.3">
      <c r="G436" s="192" t="s">
        <v>311</v>
      </c>
      <c r="H436" s="193" t="s">
        <v>311</v>
      </c>
    </row>
    <row r="437" spans="7:8" x14ac:dyDescent="0.3">
      <c r="G437" s="192" t="s">
        <v>311</v>
      </c>
      <c r="H437" s="193" t="s">
        <v>311</v>
      </c>
    </row>
    <row r="438" spans="7:8" x14ac:dyDescent="0.3">
      <c r="G438" s="192" t="s">
        <v>311</v>
      </c>
      <c r="H438" s="193" t="s">
        <v>311</v>
      </c>
    </row>
    <row r="439" spans="7:8" x14ac:dyDescent="0.3">
      <c r="G439" s="192" t="s">
        <v>311</v>
      </c>
      <c r="H439" s="193" t="s">
        <v>311</v>
      </c>
    </row>
    <row r="440" spans="7:8" x14ac:dyDescent="0.3">
      <c r="G440" s="192" t="s">
        <v>311</v>
      </c>
      <c r="H440" s="193" t="s">
        <v>311</v>
      </c>
    </row>
    <row r="441" spans="7:8" x14ac:dyDescent="0.3">
      <c r="G441" s="192" t="s">
        <v>311</v>
      </c>
      <c r="H441" s="193" t="s">
        <v>311</v>
      </c>
    </row>
    <row r="442" spans="7:8" x14ac:dyDescent="0.3">
      <c r="G442" s="192" t="s">
        <v>311</v>
      </c>
      <c r="H442" s="193" t="s">
        <v>311</v>
      </c>
    </row>
    <row r="443" spans="7:8" x14ac:dyDescent="0.3">
      <c r="G443" s="192" t="s">
        <v>311</v>
      </c>
      <c r="H443" s="193" t="s">
        <v>311</v>
      </c>
    </row>
    <row r="444" spans="7:8" x14ac:dyDescent="0.3">
      <c r="G444" s="192" t="s">
        <v>311</v>
      </c>
      <c r="H444" s="193" t="s">
        <v>311</v>
      </c>
    </row>
    <row r="445" spans="7:8" x14ac:dyDescent="0.3">
      <c r="G445" s="192" t="s">
        <v>311</v>
      </c>
      <c r="H445" s="193" t="s">
        <v>311</v>
      </c>
    </row>
    <row r="446" spans="7:8" x14ac:dyDescent="0.3">
      <c r="G446" s="192" t="s">
        <v>311</v>
      </c>
      <c r="H446" s="193" t="s">
        <v>311</v>
      </c>
    </row>
    <row r="447" spans="7:8" x14ac:dyDescent="0.3">
      <c r="G447" s="192" t="s">
        <v>311</v>
      </c>
      <c r="H447" s="193" t="s">
        <v>311</v>
      </c>
    </row>
    <row r="448" spans="7:8" x14ac:dyDescent="0.3">
      <c r="G448" s="192" t="s">
        <v>311</v>
      </c>
      <c r="H448" s="193" t="s">
        <v>311</v>
      </c>
    </row>
    <row r="449" spans="7:8" x14ac:dyDescent="0.3">
      <c r="G449" s="192" t="s">
        <v>311</v>
      </c>
      <c r="H449" s="193" t="s">
        <v>311</v>
      </c>
    </row>
    <row r="450" spans="7:8" x14ac:dyDescent="0.3">
      <c r="G450" s="192" t="s">
        <v>311</v>
      </c>
      <c r="H450" s="193" t="s">
        <v>311</v>
      </c>
    </row>
    <row r="451" spans="7:8" x14ac:dyDescent="0.3">
      <c r="G451" s="192" t="s">
        <v>311</v>
      </c>
      <c r="H451" s="193" t="s">
        <v>311</v>
      </c>
    </row>
    <row r="452" spans="7:8" x14ac:dyDescent="0.3">
      <c r="G452" s="192" t="s">
        <v>311</v>
      </c>
      <c r="H452" s="193" t="s">
        <v>311</v>
      </c>
    </row>
    <row r="453" spans="7:8" x14ac:dyDescent="0.3">
      <c r="G453" s="192" t="s">
        <v>311</v>
      </c>
      <c r="H453" s="193" t="s">
        <v>311</v>
      </c>
    </row>
    <row r="454" spans="7:8" x14ac:dyDescent="0.3">
      <c r="G454" s="192" t="s">
        <v>311</v>
      </c>
      <c r="H454" s="193" t="s">
        <v>311</v>
      </c>
    </row>
    <row r="455" spans="7:8" x14ac:dyDescent="0.3">
      <c r="G455" s="192" t="s">
        <v>311</v>
      </c>
      <c r="H455" s="193" t="s">
        <v>311</v>
      </c>
    </row>
    <row r="456" spans="7:8" x14ac:dyDescent="0.3">
      <c r="G456" s="192" t="s">
        <v>311</v>
      </c>
      <c r="H456" s="193" t="s">
        <v>311</v>
      </c>
    </row>
    <row r="457" spans="7:8" x14ac:dyDescent="0.3">
      <c r="G457" s="192" t="s">
        <v>311</v>
      </c>
      <c r="H457" s="193" t="s">
        <v>311</v>
      </c>
    </row>
    <row r="458" spans="7:8" x14ac:dyDescent="0.3">
      <c r="G458" s="192" t="s">
        <v>311</v>
      </c>
      <c r="H458" s="193" t="s">
        <v>311</v>
      </c>
    </row>
    <row r="459" spans="7:8" x14ac:dyDescent="0.3">
      <c r="G459" s="192" t="s">
        <v>311</v>
      </c>
      <c r="H459" s="193" t="s">
        <v>311</v>
      </c>
    </row>
    <row r="460" spans="7:8" x14ac:dyDescent="0.3">
      <c r="G460" s="192" t="s">
        <v>311</v>
      </c>
      <c r="H460" s="193" t="s">
        <v>311</v>
      </c>
    </row>
    <row r="461" spans="7:8" x14ac:dyDescent="0.3">
      <c r="G461" s="192" t="s">
        <v>311</v>
      </c>
      <c r="H461" s="193" t="s">
        <v>311</v>
      </c>
    </row>
    <row r="462" spans="7:8" x14ac:dyDescent="0.3">
      <c r="G462" s="192" t="s">
        <v>311</v>
      </c>
      <c r="H462" s="193" t="s">
        <v>311</v>
      </c>
    </row>
    <row r="463" spans="7:8" x14ac:dyDescent="0.3">
      <c r="G463" s="192" t="s">
        <v>311</v>
      </c>
      <c r="H463" s="193" t="s">
        <v>311</v>
      </c>
    </row>
    <row r="464" spans="7:8" x14ac:dyDescent="0.3">
      <c r="G464" s="192" t="s">
        <v>311</v>
      </c>
      <c r="H464" s="193" t="s">
        <v>311</v>
      </c>
    </row>
    <row r="465" spans="7:8" x14ac:dyDescent="0.3">
      <c r="G465" s="192" t="s">
        <v>311</v>
      </c>
      <c r="H465" s="193" t="s">
        <v>311</v>
      </c>
    </row>
    <row r="466" spans="7:8" x14ac:dyDescent="0.3">
      <c r="G466" s="192" t="s">
        <v>311</v>
      </c>
      <c r="H466" s="193" t="s">
        <v>311</v>
      </c>
    </row>
    <row r="467" spans="7:8" x14ac:dyDescent="0.3">
      <c r="G467" s="192" t="s">
        <v>311</v>
      </c>
      <c r="H467" s="193" t="s">
        <v>311</v>
      </c>
    </row>
    <row r="468" spans="7:8" x14ac:dyDescent="0.3">
      <c r="G468" s="192" t="s">
        <v>311</v>
      </c>
      <c r="H468" s="193" t="s">
        <v>311</v>
      </c>
    </row>
    <row r="469" spans="7:8" x14ac:dyDescent="0.3">
      <c r="G469" s="192" t="s">
        <v>311</v>
      </c>
      <c r="H469" s="193" t="s">
        <v>311</v>
      </c>
    </row>
    <row r="470" spans="7:8" x14ac:dyDescent="0.3">
      <c r="G470" s="192" t="s">
        <v>311</v>
      </c>
      <c r="H470" s="193" t="s">
        <v>311</v>
      </c>
    </row>
    <row r="471" spans="7:8" x14ac:dyDescent="0.3">
      <c r="G471" s="192" t="s">
        <v>311</v>
      </c>
      <c r="H471" s="193" t="s">
        <v>311</v>
      </c>
    </row>
    <row r="472" spans="7:8" x14ac:dyDescent="0.3">
      <c r="G472" s="192" t="s">
        <v>311</v>
      </c>
      <c r="H472" s="193" t="s">
        <v>311</v>
      </c>
    </row>
    <row r="473" spans="7:8" x14ac:dyDescent="0.3">
      <c r="G473" s="192" t="s">
        <v>311</v>
      </c>
      <c r="H473" s="193" t="s">
        <v>311</v>
      </c>
    </row>
    <row r="474" spans="7:8" x14ac:dyDescent="0.3">
      <c r="G474" s="192" t="s">
        <v>311</v>
      </c>
      <c r="H474" s="193" t="s">
        <v>311</v>
      </c>
    </row>
    <row r="475" spans="7:8" x14ac:dyDescent="0.3">
      <c r="G475" s="192" t="s">
        <v>311</v>
      </c>
      <c r="H475" s="193" t="s">
        <v>311</v>
      </c>
    </row>
    <row r="476" spans="7:8" x14ac:dyDescent="0.3">
      <c r="G476" s="192" t="s">
        <v>311</v>
      </c>
      <c r="H476" s="193" t="s">
        <v>311</v>
      </c>
    </row>
    <row r="477" spans="7:8" x14ac:dyDescent="0.3">
      <c r="G477" s="192" t="s">
        <v>311</v>
      </c>
      <c r="H477" s="193" t="s">
        <v>311</v>
      </c>
    </row>
    <row r="478" spans="7:8" x14ac:dyDescent="0.3">
      <c r="G478" s="192" t="s">
        <v>311</v>
      </c>
      <c r="H478" s="193" t="s">
        <v>311</v>
      </c>
    </row>
    <row r="479" spans="7:8" x14ac:dyDescent="0.3">
      <c r="G479" s="192" t="s">
        <v>311</v>
      </c>
      <c r="H479" s="193" t="s">
        <v>311</v>
      </c>
    </row>
    <row r="480" spans="7:8" x14ac:dyDescent="0.3">
      <c r="G480" s="192" t="s">
        <v>311</v>
      </c>
      <c r="H480" s="193" t="s">
        <v>311</v>
      </c>
    </row>
    <row r="481" spans="7:8" x14ac:dyDescent="0.3">
      <c r="G481" s="192" t="s">
        <v>311</v>
      </c>
      <c r="H481" s="193" t="s">
        <v>311</v>
      </c>
    </row>
    <row r="482" spans="7:8" x14ac:dyDescent="0.3">
      <c r="G482" s="192" t="s">
        <v>311</v>
      </c>
      <c r="H482" s="193" t="s">
        <v>311</v>
      </c>
    </row>
    <row r="483" spans="7:8" x14ac:dyDescent="0.3">
      <c r="G483" s="192" t="s">
        <v>311</v>
      </c>
      <c r="H483" s="193" t="s">
        <v>311</v>
      </c>
    </row>
    <row r="484" spans="7:8" x14ac:dyDescent="0.3">
      <c r="G484" s="192" t="s">
        <v>311</v>
      </c>
      <c r="H484" s="193" t="s">
        <v>311</v>
      </c>
    </row>
    <row r="485" spans="7:8" x14ac:dyDescent="0.3">
      <c r="G485" s="192" t="s">
        <v>311</v>
      </c>
      <c r="H485" s="193" t="s">
        <v>311</v>
      </c>
    </row>
    <row r="486" spans="7:8" x14ac:dyDescent="0.3">
      <c r="G486" s="192" t="s">
        <v>311</v>
      </c>
      <c r="H486" s="193" t="s">
        <v>311</v>
      </c>
    </row>
    <row r="487" spans="7:8" x14ac:dyDescent="0.3">
      <c r="G487" s="192" t="s">
        <v>311</v>
      </c>
      <c r="H487" s="193" t="s">
        <v>311</v>
      </c>
    </row>
  </sheetData>
  <sheetProtection algorithmName="SHA-512" hashValue="0AKTAF/HuzQWop21y5O5sF4ohqaLuHJId+3GVyFo8YW7IsFkzIQKbdHw13Y8hUx8vwtRPB+I2sqO36Hdl5HNYA==" saltValue="iuLzrUqlznl1RIL/JakYUQ==" spinCount="100000" sheet="1" objects="1" scenarios="1"/>
  <sortState ref="G8:H149">
    <sortCondition ref="G8:G149"/>
  </sortState>
  <mergeCells count="10">
    <mergeCell ref="K2:N2"/>
    <mergeCell ref="C27:D27"/>
    <mergeCell ref="C29:E29"/>
    <mergeCell ref="C46:D46"/>
    <mergeCell ref="A2:E2"/>
    <mergeCell ref="B4:E4"/>
    <mergeCell ref="B6:E6"/>
    <mergeCell ref="A10:B10"/>
    <mergeCell ref="C10:E10"/>
    <mergeCell ref="D8:E8"/>
  </mergeCells>
  <dataValidations count="4">
    <dataValidation type="list" allowBlank="1" showInputMessage="1" showErrorMessage="1" sqref="D982693 D65350 D130886 D196422 D261958 D327494 D393030 D458566 D524102 D589638 D655174 D720710 D786246 D851782 D917318 D982854 D13 D64924 D130460 D195996 D261532 D327068 D392604 D458140 D523676 D589212 D654748 D720284 D785820 D851356 D916892 D982428 D24 D64935 D130471 D196007 D261543 D327079 D392615 D458151 D523687 D589223 D654759 D720295 D785831 D851367 D916903 D982439 D32 D64943 D130479 D196015 D261551 D327087 D392623 D458159 D523695 D589231 D654767 D720303 D785839 D851375 D916911 D982447 D43 D64954 D130490 D196026 D261562 D327098 D392634 D458170 D523706 D589242 D654778 D720314 D785850 D851386 D916922 D982458 D65306 D130842 D196378 D261914 D327450 D392986 D458522 D524058 D589594 D655130 D720666 D786202 D851738 D917274 D982810 D65320 D130856 D196392 D261928 D327464 D393000 D458536 D524072 D589608 D655144 D720680 D786216 D851752 D917288 D982824 D65331 D130867 D196403 D261939 D327475 D393011 D458547 D524083 D589619 D655155 D720691 D786227 D851763 D917299 D982835 D65339 D130875 D196411 D261947 D327483 D393019 D458555 D524091 D589627 D655163 D720699 D786235 D851771 D917307 D982843 D64971 D130507 D196043 D261579 D327115 D392651 D458187 D523723 D589259 D654795 D720331 D785867 D851403 D916939 D982475 D64982 D130518 D196054 D261590 D327126 D392662 D458198 D523734 D589270 D654806 D720342 D785878 D851414 D916950 D982486 D64990 D130526 D196062 D261598 D327134 D392670 D458206 D523742 D589278 D654814 D720350 D785886 D851422 D916958 D982494 D65001 D130537 D196073 D261609 D327145 D392681 D458217 D523753 D589289 D654825 D720361 D785897 D851433 D916969 D982505 D65018 D130554 D196090 D261626 D327162 D392698 D458234 D523770 D589306 D654842 D720378 D785914 D851450 D916986 D982522 D65029 D130565 D196101 D261637 D327173 D392709 D458245 D523781 D589317 D654853 D720389 D785925 D851461 D916997 D982533 D65037 D130573 D196109 D261645 D327181 D392717 D458253 D523789 D589325 D654861 D720397 D785933 D851469 D917005 D982541 D65048 D130584 D196120 D261656 D327192 D392728 D458264 D523800 D589336 D654872 D720408 D785944 D851480 D917016 D982552 D65295 D130831 D196367 D261903 D327439 D392975 D458511 D524047 D589583 D655119 D720655 D786191 D851727 D917263 D982799 D65065 D130601 D196137 D261673 D327209 D392745 D458281 D523817 D589353 D654889 D720425 D785961 D851497 D917033 D982569 D65076 D130612 D196148 D261684 D327220 D392756 D458292 D523828 D589364 D654900 D720436 D785972 D851508 D917044 D982580 D65084 D130620 D196156 D261692 D327228 D392764 D458300 D523836 D589372 D654908 D720444 D785980 D851516 D917052 D982588 D65095 D130631 D196167 D261703 D327239 D392775 D458311 D523847 D589383 D654919 D720455 D785991 D851527 D917063 D982599 D65112 D130648 D196184 D261720 D327256 D392792 D458328 D523864 D589400 D654936 D720472 D786008 D851544 D917080 D982616 D65123 D130659 D196195 D261731 D327267 D392803 D458339 D523875 D589411 D654947 D720483 D786019 D851555 D917091 D982627 D65131 D130667 D196203 D261739 D327275 D392811 D458347 D523883 D589419 D654955 D720491 D786027 D851563 D917099 D982635 D65142 D130678 D196214 D261750 D327286 D392822 D458358 D523894 D589430 D654966 D720502 D786038 D851574 D917110 D982646 D65199 D130735 D196271 D261807 D327343 D392879 D458415 D523951 D589487 D655023 D720559 D786095 D851631 D917167 D982703 D65207 D130743 D196279 D261815 D327351 D392887 D458423 D523959 D589495 D655031 D720567 D786103 D851639 D917175 D982711 D65218 D130754 D196290 D261826 D327362 D392898 D458434 D523970 D589506 D655042 D720578 D786114 D851650 D917186 D982722 D65232 D130768 D196304 D261840 D327376 D392912 D458448 D523984 D589520 D655056 D720592 D786128 D851664 D917200 D982736 D65243 D130779 D196315 D261851 D327387 D392923 D458459 D523995 D589531 D655067 D720603 D786139 D851675 D917211 D982747 D65251 D130787 D196323 D261859 D327395 D392931 D458467 D524003 D589539 D655075 D720611 D786147 D851683 D917219 D982755 D65262 D130798 D196334 D261870 D327406 D392942 D458478 D524014 D589550 D655086 D720622 D786158 D851694 D917230 D982766 D65276 D130812 D196348 D261884 D327420 D392956 D458492 D524028 D589564 D655100 D720636 D786172 D851708 D917244 D982780 D65287 D130823 D196359 D261895 D327431 D392967 D458503 D524039 D589575 D655111 D720647 D786183 D851719 D917255 D982791 D65159 D130695 D196231 D261767 D327303 D392839 D458375 D523911 D589447 D654983 D720519 D786055 D851591 D917127 D982663 D65170 D130706 D196242 D261778 D327314 D392850 D458386 D523922 D589458 D654994 D720530 D786066 D851602 D917138 D982674 D65178 D130714 D196250 D261786 D327322 D392858 D458394 D523930 D589466 D655002 D720538 D786074 D851610 D917146 D982682 D65189 D130725 D196261 D261797 D327333 D392869 D458405 D523941 D589477 D655013 D720549 D786085 D851621 D917157">
      <formula1>$G$3:$G$6</formula1>
    </dataValidation>
    <dataValidation type="list" allowBlank="1" showInputMessage="1" showErrorMessage="1" sqref="B14:B23 B982523:B982532 B916987:B916996 B851451:B851460 B785915:B785924 B720379:B720388 B654843:B654852 B589307:B589316 B523771:B523780 B458235:B458244 B392699:B392708 B327163:B327172 B261627:B261636 B196091:B196100 B130555:B130564 B65019:B65028 B982664:B982673 B917128:B917137 B851592:B851601 B786056:B786065 B720520:B720529 B654984:B654993 B589448:B589457 B523912:B523921 B458376:B458385 B392840:B392849 B327304:B327313 B261768:B261777 B196232:B196241 B130696:B130705 B65160:B65169 B982756:B982765 B917220:B917229 B851684:B851693 B786148:B786157 B720612:B720621 B655076:B655085 B589540:B589549 B524004:B524013 B458468:B458477 B392932:B392941 B327396:B327405 B261860:B261869 B196324:B196333 B130788:B130797 B65252:B65261 B982737:B982746 B917201:B917210 B851665:B851674 B786129:B786138 B720593:B720602 B655057:B655066 B589521:B589530 B523985:B523994 B458449:B458458 B392913:B392922 B327377:B327386 B261841:B261850 B196305:B196314 B130769:B130778 B65233:B65242 B982712:B982721 B917176:B917185 B851640:B851649 B786104:B786113 B720568:B720577 B655032:B655041 B589496:B589505 B523960:B523969 B458424:B458433 B392888:B392897 B327352:B327361 B261816:B261825 B196280:B196289 B130744:B130753 B65208:B65217 B982636:B982645 B917100:B917109 B851564:B851573 B786028:B786037 B720492:B720501 B654956:B654965 B589420:B589429 B523884:B523893 B458348:B458357 B392812:B392821 B327276:B327285 B261740:B261749 B196204:B196213 B130668:B130677 B65132:B65141 B982698:B982702 B917162:B917166 B851626:B851630 B786090:B786094 B720554:B720558 B655018:B655022 B589482:B589486 B523946:B523950 B458410:B458414 B392874:B392878 B327338:B327342 B261802:B261806 B196266:B196270 B130730:B130734 B65194:B65198 B982589:B982598 B917053:B917062 B851517:B851526 B785981:B785990 B720445:B720454 B654909:B654918 B589373:B589382 B523837:B523846 B458301:B458310 B392765:B392774 B327229:B327238 B261693:B261702 B196157:B196166 B130621:B130630 B65085:B65094 B982617:B982626 B917081:B917090 B851545:B851554 B786009:B786018 B720473:B720482 B654937:B654946 B589401:B589410 B523865:B523874 B458329:B458338 B392793:B392802 B327257:B327266 B261721:B261730 B196185:B196194 B130649:B130658 B65113:B65122 B982570:B982579 B917034:B917043 B851498:B851507 B785962:B785971 B720426:B720435 B654890:B654899 B589354:B589363 B523818:B523827 B458282:B458291 B392746:B392755 B327210:B327219 B261674:B261683 B196138:B196147 B130602:B130611 B65066:B65075 B982542:B982551 B917006:B917015 B851470:B851479 B785934:B785943 B720398:B720407 B654862:B654871 B589326:B589335 B523790:B523799 B458254:B458263 B392718:B392727 B327182:B327191 B261646:B261655 B196110:B196119 B130574:B130583 B65038:B65047 B982476:B982485 B916940:B916949 B851404:B851413 B785868:B785877 B720332:B720341 B654796:B654805 B589260:B589269 B523724:B523733 B458188:B458197 B392652:B392661 B327116:B327125 B261580:B261589 B196044:B196053 B130508:B130517 B64972:B64981 B982495:B982504 B916959:B916968 B851423:B851432 B785887:B785896 B720351:B720360 B654815:B654824 B589279:B589288 B523743:B523752 B458207:B458216 B392671:B392680 B327135:B327144 B261599:B261608 B196063:B196072 B130527:B130536 B64991:B65000 B982683:B982692 B917147:B917156 B851611:B851620 B786075:B786084 B720539:B720548 B655003:B655012 B589467:B589476 B523931:B523940 B458395:B458404 B392859:B392868 B327323:B327332 B261787:B261796 B196251:B196260 B130715:B130724 B65179:B65188 B982800:B982809 B917264:B917273 B851728:B851737 B786192:B786201 B720656:B720665 B655120:B655129 B589584:B589593 B524048:B524057 B458512:B458521 B392976:B392985 B327440:B327449 B261904:B261913 B196368:B196377 B130832:B130841 B65296:B65305 B982781:B982790 B917245:B917254 B851709:B851718 B786173:B786182 B720637:B720646 B655101:B655110 B589565:B589574 B524029:B524038 B458493:B458502 B392957:B392966 B327421:B327430 B261885:B261894 B196349:B196358 B130813:B130822 B65277:B65286 B982448:B982457 B916912:B916921 B851376:B851385 B785840:B785849 B720304:B720313 B654768:B654777 B589232:B589241 B523696:B523705 B458160:B458169 B392624:B392633 B327088:B327097 B261552:B261561 B196016:B196025 B130480:B130489 B64944:B64953 B33:B42 B982429:B982438 B916893:B916902 B851357:B851366 B785821:B785830 B720285:B720294 B654749:B654758 B589213:B589222 B523677:B523686 B458141:B458150 B392605:B392614 B327069:B327078 B261533:B261542 B195997:B196006 B130461:B130470 B64925:B64934">
      <formula1>$G$11:$G$444</formula1>
    </dataValidation>
    <dataValidation type="list" allowBlank="1" showInputMessage="1" showErrorMessage="1" sqref="B982825:B982834 B917289:B917298 B851753:B851762 B786217:B786226 B720681:B720690 B655145:B655154 B589609:B589618 B524073:B524082 B458537:B458546 B393001:B393010 B327465:B327474 B261929:B261938 B196393:B196402 B130857:B130866 B65321:B65330 B982844:B982853 B917308:B917317 B851772:B851781 B786236:B786245 B720700:B720709 B655164:B655173 B589628:B589637 B524092:B524101 B458556:B458565 B393020:B393029 B327484:B327493 B261948:B261957 B196412:B196421 B130876:B130885 B65340:B65349">
      <formula1>$G$11:$G$328</formula1>
    </dataValidation>
    <dataValidation type="list" allowBlank="1" showInputMessage="1" showErrorMessage="1" sqref="B8">
      <formula1>$G$7:$G$9</formula1>
    </dataValidation>
  </dataValidations>
  <hyperlinks>
    <hyperlink ref="D8:E8" location="Schwimmbadbilanz!A31" display="Zurück zur Schwimmbadbilanz è"/>
  </hyperlinks>
  <pageMargins left="0.62992125984251968" right="0.62992125984251968" top="0.9055118110236221" bottom="0.59055118110236227" header="0" footer="0.19685039370078741"/>
  <pageSetup paperSize="9" firstPageNumber="2" orientation="portrait" r:id="rId1"/>
  <headerFooter>
    <oddHeader>&amp;L&amp;G</oddHeader>
    <oddFooter xml:space="preserve">&amp;R&amp;"Calibri,Standard"&amp;8&amp;K00-039&amp;F\&amp;A      </oddFooter>
    <firstHeader>&amp;L&amp;G</firstHeader>
    <firstFooter xml:space="preserve">&amp;R&amp;"Calibri,Standard"&amp;8&amp;K00-030&amp;F       </first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AS183"/>
  <sheetViews>
    <sheetView topLeftCell="A73" zoomScaleNormal="100" workbookViewId="0">
      <selection activeCell="H121" sqref="H121"/>
    </sheetView>
  </sheetViews>
  <sheetFormatPr baseColWidth="10" defaultColWidth="11.44140625" defaultRowHeight="14.4" x14ac:dyDescent="0.3"/>
  <cols>
    <col min="1" max="1" width="16.6640625" style="10" bestFit="1" customWidth="1"/>
    <col min="2" max="13" width="6.5546875" style="10" customWidth="1"/>
    <col min="14" max="15" width="11.44140625" style="10"/>
    <col min="16" max="16" width="46.6640625" style="10" bestFit="1" customWidth="1"/>
    <col min="17" max="17" width="30.88671875" style="10" bestFit="1" customWidth="1"/>
    <col min="18" max="18" width="29.109375" style="10" bestFit="1" customWidth="1"/>
    <col min="19" max="19" width="19.88671875" style="10" bestFit="1" customWidth="1"/>
    <col min="20" max="20" width="18" style="10" bestFit="1" customWidth="1"/>
    <col min="21" max="21" width="18" style="10" customWidth="1"/>
    <col min="22" max="23" width="11.44140625" style="10"/>
    <col min="24" max="24" width="19" style="10" customWidth="1"/>
    <col min="25" max="25" width="15.6640625" style="10" bestFit="1" customWidth="1"/>
    <col min="26" max="26" width="7.44140625" style="10" bestFit="1" customWidth="1"/>
    <col min="27" max="41" width="6.109375" style="10" customWidth="1"/>
    <col min="42" max="42" width="11.44140625" style="10"/>
    <col min="43" max="43" width="46.6640625" style="10" bestFit="1" customWidth="1"/>
    <col min="44" max="44" width="10.88671875" style="10" bestFit="1" customWidth="1"/>
    <col min="45" max="45" width="42" style="10" bestFit="1" customWidth="1"/>
    <col min="46" max="16384" width="11.44140625" style="10"/>
  </cols>
  <sheetData>
    <row r="1" spans="1:45" ht="28.5" customHeight="1" x14ac:dyDescent="0.3"/>
    <row r="2" spans="1:45" ht="25.8" x14ac:dyDescent="0.3">
      <c r="A2" s="324" t="s">
        <v>1</v>
      </c>
      <c r="B2" s="324"/>
      <c r="C2" s="324"/>
      <c r="D2" s="324"/>
      <c r="E2" s="324"/>
      <c r="F2" s="324"/>
      <c r="G2" s="324"/>
      <c r="H2" s="324"/>
      <c r="I2" s="324"/>
      <c r="J2" s="324"/>
      <c r="X2" s="32"/>
      <c r="Y2" s="18"/>
      <c r="Z2" s="322" t="s">
        <v>104</v>
      </c>
      <c r="AA2" s="322"/>
      <c r="AB2" s="322"/>
      <c r="AC2" s="322"/>
      <c r="AD2" s="322"/>
      <c r="AE2" s="322"/>
      <c r="AF2" s="322"/>
      <c r="AG2" s="322"/>
      <c r="AH2" s="322"/>
      <c r="AI2" s="322"/>
      <c r="AJ2" s="322"/>
      <c r="AK2" s="322"/>
      <c r="AL2" s="322"/>
      <c r="AM2" s="322"/>
      <c r="AN2" s="322"/>
      <c r="AO2" s="323"/>
      <c r="AQ2" s="319" t="s">
        <v>352</v>
      </c>
      <c r="AR2" s="320"/>
      <c r="AS2" s="321"/>
    </row>
    <row r="3" spans="1:45" x14ac:dyDescent="0.3">
      <c r="P3" s="17" t="s">
        <v>351</v>
      </c>
      <c r="Q3" s="18"/>
      <c r="R3" s="18"/>
      <c r="S3" s="18"/>
      <c r="T3" s="18"/>
      <c r="U3" s="19"/>
      <c r="X3" s="20"/>
      <c r="Y3" s="16"/>
      <c r="Z3" s="16"/>
      <c r="AA3" s="16"/>
      <c r="AB3" s="16"/>
      <c r="AC3" s="16"/>
      <c r="AD3" s="16"/>
      <c r="AE3" s="16"/>
      <c r="AF3" s="16"/>
      <c r="AG3" s="16"/>
      <c r="AH3" s="16"/>
      <c r="AI3" s="16"/>
      <c r="AJ3" s="16"/>
      <c r="AK3" s="16"/>
      <c r="AL3" s="16"/>
      <c r="AM3" s="16"/>
      <c r="AN3" s="16"/>
      <c r="AO3" s="14"/>
      <c r="AQ3" s="20"/>
      <c r="AR3" s="16"/>
      <c r="AS3" s="14"/>
    </row>
    <row r="4" spans="1:45" ht="43.8" x14ac:dyDescent="0.35">
      <c r="A4" s="33" t="s">
        <v>63</v>
      </c>
      <c r="B4" s="34" t="s">
        <v>64</v>
      </c>
      <c r="C4" s="34" t="s">
        <v>65</v>
      </c>
      <c r="D4" s="34" t="s">
        <v>66</v>
      </c>
      <c r="E4" s="34" t="s">
        <v>67</v>
      </c>
      <c r="F4" s="34" t="s">
        <v>16</v>
      </c>
      <c r="G4" s="34" t="s">
        <v>68</v>
      </c>
      <c r="H4" s="34" t="s">
        <v>69</v>
      </c>
      <c r="I4" s="34" t="s">
        <v>70</v>
      </c>
      <c r="J4" s="34" t="s">
        <v>71</v>
      </c>
      <c r="K4" s="34" t="s">
        <v>72</v>
      </c>
      <c r="L4" s="34" t="s">
        <v>73</v>
      </c>
      <c r="M4" s="34" t="s">
        <v>74</v>
      </c>
      <c r="N4" s="34" t="s">
        <v>75</v>
      </c>
      <c r="P4" s="21" t="s">
        <v>96</v>
      </c>
      <c r="Q4" s="12" t="s">
        <v>92</v>
      </c>
      <c r="R4" s="12" t="s">
        <v>97</v>
      </c>
      <c r="S4" s="12" t="s">
        <v>95</v>
      </c>
      <c r="T4" s="12" t="s">
        <v>93</v>
      </c>
      <c r="U4" s="13" t="s">
        <v>94</v>
      </c>
      <c r="X4" s="20"/>
      <c r="Y4" s="16"/>
      <c r="Z4" s="315" t="s">
        <v>98</v>
      </c>
      <c r="AA4" s="315"/>
      <c r="AB4" s="315"/>
      <c r="AC4" s="315"/>
      <c r="AD4" s="315" t="s">
        <v>100</v>
      </c>
      <c r="AE4" s="315"/>
      <c r="AF4" s="315"/>
      <c r="AG4" s="315"/>
      <c r="AH4" s="315"/>
      <c r="AI4" s="315"/>
      <c r="AJ4" s="315"/>
      <c r="AK4" s="315"/>
      <c r="AL4" s="315"/>
      <c r="AM4" s="315"/>
      <c r="AN4" s="315"/>
      <c r="AO4" s="316"/>
      <c r="AQ4" s="20"/>
      <c r="AR4" s="16" t="s">
        <v>316</v>
      </c>
      <c r="AS4" s="14"/>
    </row>
    <row r="5" spans="1:45" ht="15.6" x14ac:dyDescent="0.35">
      <c r="A5" s="1" t="s">
        <v>57</v>
      </c>
      <c r="B5" s="3">
        <v>0.8</v>
      </c>
      <c r="C5" s="3">
        <v>2.1</v>
      </c>
      <c r="D5" s="3">
        <v>6.3</v>
      </c>
      <c r="E5" s="3">
        <v>9.4</v>
      </c>
      <c r="F5" s="3">
        <v>14.4</v>
      </c>
      <c r="G5" s="3">
        <v>16.7</v>
      </c>
      <c r="H5" s="3">
        <v>18.7</v>
      </c>
      <c r="I5" s="3">
        <v>18.7</v>
      </c>
      <c r="J5" s="3">
        <v>14.6</v>
      </c>
      <c r="K5" s="3">
        <v>10.8</v>
      </c>
      <c r="L5" s="3">
        <v>4.9000000000000004</v>
      </c>
      <c r="M5" s="3">
        <v>2</v>
      </c>
      <c r="N5" s="3">
        <f>AVERAGE(B5:M5)</f>
        <v>9.9500000000000011</v>
      </c>
      <c r="P5" s="20">
        <v>20</v>
      </c>
      <c r="Q5" s="35">
        <v>1.489E-2</v>
      </c>
      <c r="R5" s="36">
        <v>681.75</v>
      </c>
      <c r="S5" s="16">
        <v>0</v>
      </c>
      <c r="T5" s="35">
        <v>2.2899999999999999E-3</v>
      </c>
      <c r="U5" s="37">
        <v>2.6700000000000001E-3</v>
      </c>
      <c r="V5" s="23"/>
      <c r="X5" s="20"/>
      <c r="Y5" s="16"/>
      <c r="Z5" s="315"/>
      <c r="AA5" s="315"/>
      <c r="AB5" s="315"/>
      <c r="AC5" s="315"/>
      <c r="AD5" s="317" t="s">
        <v>103</v>
      </c>
      <c r="AE5" s="317"/>
      <c r="AF5" s="317"/>
      <c r="AG5" s="317"/>
      <c r="AH5" s="317" t="s">
        <v>102</v>
      </c>
      <c r="AI5" s="317"/>
      <c r="AJ5" s="317"/>
      <c r="AK5" s="317"/>
      <c r="AL5" s="317" t="s">
        <v>101</v>
      </c>
      <c r="AM5" s="317"/>
      <c r="AN5" s="317"/>
      <c r="AO5" s="318"/>
      <c r="AQ5" s="20"/>
      <c r="AR5" s="16"/>
      <c r="AS5" s="14"/>
    </row>
    <row r="6" spans="1:45" x14ac:dyDescent="0.3">
      <c r="A6" s="1" t="s">
        <v>32</v>
      </c>
      <c r="B6" s="3">
        <v>-2</v>
      </c>
      <c r="C6" s="3">
        <v>-1.1000000000000001</v>
      </c>
      <c r="D6" s="3">
        <v>2.2000000000000002</v>
      </c>
      <c r="E6" s="3">
        <v>5.0999999999999996</v>
      </c>
      <c r="F6" s="3">
        <v>10.199999999999999</v>
      </c>
      <c r="G6" s="3">
        <v>12.7</v>
      </c>
      <c r="H6" s="3">
        <v>14.9</v>
      </c>
      <c r="I6" s="3">
        <v>14.9</v>
      </c>
      <c r="J6" s="3">
        <v>11</v>
      </c>
      <c r="K6" s="3">
        <v>7.5</v>
      </c>
      <c r="L6" s="3">
        <v>1.8</v>
      </c>
      <c r="M6" s="3">
        <v>-0.7</v>
      </c>
      <c r="N6" s="3">
        <f>AVERAGE(B6:M6)</f>
        <v>6.375</v>
      </c>
      <c r="P6" s="20">
        <v>21</v>
      </c>
      <c r="Q6" s="35">
        <v>1.5859999999999999E-2</v>
      </c>
      <c r="R6" s="36">
        <v>681.09722222222217</v>
      </c>
      <c r="S6" s="16">
        <v>1</v>
      </c>
      <c r="T6" s="35">
        <v>2.4599999999999999E-3</v>
      </c>
      <c r="U6" s="37">
        <v>2.8700000000000002E-3</v>
      </c>
      <c r="V6" s="23"/>
      <c r="X6" s="325" t="s">
        <v>99</v>
      </c>
      <c r="Y6" s="326"/>
      <c r="Z6" s="38">
        <v>0.2</v>
      </c>
      <c r="AA6" s="38">
        <v>0.4</v>
      </c>
      <c r="AB6" s="38">
        <v>0.6</v>
      </c>
      <c r="AC6" s="38">
        <v>1</v>
      </c>
      <c r="AD6" s="38">
        <v>0.2</v>
      </c>
      <c r="AE6" s="39">
        <v>0.4</v>
      </c>
      <c r="AF6" s="38">
        <v>0.6</v>
      </c>
      <c r="AG6" s="38">
        <v>1</v>
      </c>
      <c r="AH6" s="38">
        <v>0.2</v>
      </c>
      <c r="AI6" s="38">
        <v>0.4</v>
      </c>
      <c r="AJ6" s="38">
        <v>0.6</v>
      </c>
      <c r="AK6" s="38">
        <v>1</v>
      </c>
      <c r="AL6" s="38">
        <v>0.2</v>
      </c>
      <c r="AM6" s="38">
        <v>0.4</v>
      </c>
      <c r="AN6" s="38">
        <v>0.6</v>
      </c>
      <c r="AO6" s="31">
        <v>1</v>
      </c>
      <c r="AQ6" s="20" t="s">
        <v>309</v>
      </c>
      <c r="AR6" s="16">
        <v>0.7</v>
      </c>
      <c r="AS6" s="14" t="s">
        <v>315</v>
      </c>
    </row>
    <row r="7" spans="1:45" x14ac:dyDescent="0.3">
      <c r="A7" s="1" t="s">
        <v>23</v>
      </c>
      <c r="B7" s="3">
        <v>-1.2</v>
      </c>
      <c r="C7" s="3">
        <v>-0.9</v>
      </c>
      <c r="D7" s="3">
        <v>1.7</v>
      </c>
      <c r="E7" s="3">
        <v>4.0999999999999996</v>
      </c>
      <c r="F7" s="3">
        <v>9.1999999999999993</v>
      </c>
      <c r="G7" s="3">
        <v>11.8</v>
      </c>
      <c r="H7" s="3">
        <v>14.2</v>
      </c>
      <c r="I7" s="3">
        <v>14.4</v>
      </c>
      <c r="J7" s="3">
        <v>10.5</v>
      </c>
      <c r="K7" s="3">
        <v>7.3</v>
      </c>
      <c r="L7" s="3">
        <v>2</v>
      </c>
      <c r="M7" s="3">
        <v>0</v>
      </c>
      <c r="N7" s="3">
        <f t="shared" ref="N7:N41" si="0">AVERAGE(B7:M7)</f>
        <v>6.0916666666666659</v>
      </c>
      <c r="P7" s="20">
        <v>22</v>
      </c>
      <c r="Q7" s="35">
        <v>1.6889999999999999E-2</v>
      </c>
      <c r="R7" s="36">
        <v>680.44444444444446</v>
      </c>
      <c r="S7" s="16">
        <v>2</v>
      </c>
      <c r="T7" s="35">
        <v>2.64E-3</v>
      </c>
      <c r="U7" s="37">
        <v>3.0899999999999999E-3</v>
      </c>
      <c r="V7" s="23"/>
      <c r="X7" s="314" t="s">
        <v>267</v>
      </c>
      <c r="Y7" s="28">
        <v>0</v>
      </c>
      <c r="Z7" s="22">
        <v>1</v>
      </c>
      <c r="AA7" s="22">
        <v>1</v>
      </c>
      <c r="AB7" s="22">
        <v>1</v>
      </c>
      <c r="AC7" s="22">
        <v>1</v>
      </c>
      <c r="AD7" s="22">
        <v>0.82</v>
      </c>
      <c r="AE7" s="40">
        <v>0.69</v>
      </c>
      <c r="AF7" s="22">
        <v>0.6</v>
      </c>
      <c r="AG7" s="22">
        <v>0.49</v>
      </c>
      <c r="AH7" s="22">
        <v>0.67</v>
      </c>
      <c r="AI7" s="22">
        <v>0.52</v>
      </c>
      <c r="AJ7" s="22">
        <v>0.43</v>
      </c>
      <c r="AK7" s="22">
        <v>0.31</v>
      </c>
      <c r="AL7" s="22">
        <v>0.53</v>
      </c>
      <c r="AM7" s="22">
        <v>0.37</v>
      </c>
      <c r="AN7" s="22">
        <v>0.28999999999999998</v>
      </c>
      <c r="AO7" s="30">
        <v>0.2</v>
      </c>
      <c r="AQ7" s="26" t="s">
        <v>310</v>
      </c>
      <c r="AR7" s="27">
        <v>0.8</v>
      </c>
      <c r="AS7" s="25" t="s">
        <v>314</v>
      </c>
    </row>
    <row r="8" spans="1:45" x14ac:dyDescent="0.3">
      <c r="A8" s="1" t="s">
        <v>24</v>
      </c>
      <c r="B8" s="3">
        <v>1.1000000000000001</v>
      </c>
      <c r="C8" s="3">
        <v>2.5</v>
      </c>
      <c r="D8" s="3">
        <v>6.2</v>
      </c>
      <c r="E8" s="3">
        <v>9.3000000000000007</v>
      </c>
      <c r="F8" s="3">
        <v>14.1</v>
      </c>
      <c r="G8" s="3">
        <v>16.899999999999999</v>
      </c>
      <c r="H8" s="3">
        <v>19.100000000000001</v>
      </c>
      <c r="I8" s="3">
        <v>18.899999999999999</v>
      </c>
      <c r="J8" s="3">
        <v>14.6</v>
      </c>
      <c r="K8" s="3">
        <v>10.5</v>
      </c>
      <c r="L8" s="3">
        <v>5.0999999999999996</v>
      </c>
      <c r="M8" s="3">
        <v>2.2999999999999998</v>
      </c>
      <c r="N8" s="3">
        <f t="shared" si="0"/>
        <v>10.049999999999999</v>
      </c>
      <c r="P8" s="20">
        <v>23</v>
      </c>
      <c r="Q8" s="35">
        <v>1.7979999999999999E-2</v>
      </c>
      <c r="R8" s="36">
        <v>679.79166666666674</v>
      </c>
      <c r="S8" s="16">
        <v>3</v>
      </c>
      <c r="T8" s="35">
        <v>2.8400000000000001E-3</v>
      </c>
      <c r="U8" s="37">
        <v>3.32E-3</v>
      </c>
      <c r="V8" s="23"/>
      <c r="X8" s="314"/>
      <c r="Y8" s="28">
        <v>0.5</v>
      </c>
      <c r="Z8" s="22">
        <v>0.92</v>
      </c>
      <c r="AA8" s="22">
        <v>0.88</v>
      </c>
      <c r="AB8" s="22">
        <v>0.85</v>
      </c>
      <c r="AC8" s="22">
        <v>0.8</v>
      </c>
      <c r="AD8" s="22">
        <v>0.8</v>
      </c>
      <c r="AE8" s="40">
        <v>0.67</v>
      </c>
      <c r="AF8" s="22">
        <v>0.56999999999999995</v>
      </c>
      <c r="AG8" s="22">
        <v>0.46</v>
      </c>
      <c r="AH8" s="22">
        <v>0.66</v>
      </c>
      <c r="AI8" s="22">
        <v>0.51</v>
      </c>
      <c r="AJ8" s="22">
        <v>0.41</v>
      </c>
      <c r="AK8" s="22">
        <v>0.3</v>
      </c>
      <c r="AL8" s="22">
        <v>0.53</v>
      </c>
      <c r="AM8" s="22">
        <v>0.36</v>
      </c>
      <c r="AN8" s="22">
        <v>0.28000000000000003</v>
      </c>
      <c r="AO8" s="30">
        <v>0.2</v>
      </c>
    </row>
    <row r="9" spans="1:45" x14ac:dyDescent="0.3">
      <c r="A9" s="1" t="s">
        <v>25</v>
      </c>
      <c r="B9" s="3">
        <v>1.2</v>
      </c>
      <c r="C9" s="3">
        <v>2.1</v>
      </c>
      <c r="D9" s="3">
        <v>5.9</v>
      </c>
      <c r="E9" s="3">
        <v>9.1</v>
      </c>
      <c r="F9" s="3">
        <v>14.1</v>
      </c>
      <c r="G9" s="3">
        <v>16.5</v>
      </c>
      <c r="H9" s="3">
        <v>18.600000000000001</v>
      </c>
      <c r="I9" s="3">
        <v>18.600000000000001</v>
      </c>
      <c r="J9" s="3">
        <v>14.6</v>
      </c>
      <c r="K9" s="3">
        <v>10.6</v>
      </c>
      <c r="L9" s="3">
        <v>5.2</v>
      </c>
      <c r="M9" s="3">
        <v>2.5</v>
      </c>
      <c r="N9" s="3">
        <f t="shared" si="0"/>
        <v>9.9166666666666661</v>
      </c>
      <c r="P9" s="20">
        <v>24</v>
      </c>
      <c r="Q9" s="35">
        <v>1.9189999999999999E-2</v>
      </c>
      <c r="R9" s="36">
        <v>679.13888888888891</v>
      </c>
      <c r="S9" s="16">
        <v>4</v>
      </c>
      <c r="T9" s="35">
        <v>3.0500000000000002E-3</v>
      </c>
      <c r="U9" s="37">
        <v>3.5599999999999998E-3</v>
      </c>
      <c r="V9" s="23"/>
      <c r="X9" s="314"/>
      <c r="Y9" s="28">
        <v>1</v>
      </c>
      <c r="Z9" s="22">
        <v>0.88</v>
      </c>
      <c r="AA9" s="22">
        <v>0.83</v>
      </c>
      <c r="AB9" s="22">
        <v>0.78</v>
      </c>
      <c r="AC9" s="22">
        <v>0.7</v>
      </c>
      <c r="AD9" s="22">
        <v>0.76900000000000002</v>
      </c>
      <c r="AE9" s="40">
        <v>0.65</v>
      </c>
      <c r="AF9" s="22">
        <v>0.55000000000000004</v>
      </c>
      <c r="AG9" s="22">
        <v>0.43</v>
      </c>
      <c r="AH9" s="22">
        <v>0.65</v>
      </c>
      <c r="AI9" s="22">
        <v>0.49</v>
      </c>
      <c r="AJ9" s="22">
        <v>0.4</v>
      </c>
      <c r="AK9" s="22">
        <v>0.28999999999999998</v>
      </c>
      <c r="AL9" s="22">
        <v>0.52</v>
      </c>
      <c r="AM9" s="22">
        <v>0.36</v>
      </c>
      <c r="AN9" s="22">
        <v>0.27</v>
      </c>
      <c r="AO9" s="30">
        <v>0.19</v>
      </c>
    </row>
    <row r="10" spans="1:45" x14ac:dyDescent="0.3">
      <c r="A10" s="1" t="s">
        <v>26</v>
      </c>
      <c r="B10" s="3">
        <v>1.7</v>
      </c>
      <c r="C10" s="3">
        <v>2.9</v>
      </c>
      <c r="D10" s="3">
        <v>6.8</v>
      </c>
      <c r="E10" s="3">
        <v>9.6</v>
      </c>
      <c r="F10" s="3">
        <v>14.2</v>
      </c>
      <c r="G10" s="3">
        <v>17.2</v>
      </c>
      <c r="H10" s="3">
        <v>19.5</v>
      </c>
      <c r="I10" s="3">
        <v>19.399999999999999</v>
      </c>
      <c r="J10" s="3">
        <v>14.9</v>
      </c>
      <c r="K10" s="3">
        <v>10.9</v>
      </c>
      <c r="L10" s="3">
        <v>5.4</v>
      </c>
      <c r="M10" s="3">
        <v>3</v>
      </c>
      <c r="N10" s="3">
        <f t="shared" si="0"/>
        <v>10.458333333333336</v>
      </c>
      <c r="P10" s="20">
        <v>25</v>
      </c>
      <c r="Q10" s="35">
        <v>2.035E-2</v>
      </c>
      <c r="R10" s="36">
        <v>678.48611111111109</v>
      </c>
      <c r="S10" s="16">
        <v>5</v>
      </c>
      <c r="T10" s="35">
        <v>3.2699999999999999E-3</v>
      </c>
      <c r="U10" s="37">
        <v>3.82E-3</v>
      </c>
      <c r="V10" s="23"/>
      <c r="X10" s="314"/>
      <c r="Y10" s="41">
        <v>1.5</v>
      </c>
      <c r="Z10" s="42">
        <f>(Z9+Z11)/2</f>
        <v>0.85</v>
      </c>
      <c r="AA10" s="42">
        <f t="shared" ref="AA10:AO10" si="1">(AA9+AA11)/2</f>
        <v>0.78</v>
      </c>
      <c r="AB10" s="42">
        <f t="shared" si="1"/>
        <v>0.72</v>
      </c>
      <c r="AC10" s="42">
        <f t="shared" si="1"/>
        <v>0.63</v>
      </c>
      <c r="AD10" s="42">
        <f t="shared" si="1"/>
        <v>0.76449999999999996</v>
      </c>
      <c r="AE10" s="43">
        <f t="shared" si="1"/>
        <v>0.63</v>
      </c>
      <c r="AF10" s="42">
        <f t="shared" si="1"/>
        <v>0.53</v>
      </c>
      <c r="AG10" s="42">
        <f t="shared" si="1"/>
        <v>0.41000000000000003</v>
      </c>
      <c r="AH10" s="42">
        <f t="shared" si="1"/>
        <v>0.64</v>
      </c>
      <c r="AI10" s="42">
        <f t="shared" si="1"/>
        <v>0.48</v>
      </c>
      <c r="AJ10" s="42">
        <f t="shared" si="1"/>
        <v>0.38500000000000001</v>
      </c>
      <c r="AK10" s="42">
        <f t="shared" si="1"/>
        <v>0.28000000000000003</v>
      </c>
      <c r="AL10" s="42">
        <f t="shared" si="1"/>
        <v>0.51</v>
      </c>
      <c r="AM10" s="42">
        <f t="shared" si="1"/>
        <v>0.35</v>
      </c>
      <c r="AN10" s="42">
        <f t="shared" si="1"/>
        <v>0.26500000000000001</v>
      </c>
      <c r="AO10" s="44">
        <f t="shared" si="1"/>
        <v>0.185</v>
      </c>
    </row>
    <row r="11" spans="1:45" x14ac:dyDescent="0.3">
      <c r="A11" s="1" t="s">
        <v>27</v>
      </c>
      <c r="B11" s="3">
        <v>-0.1</v>
      </c>
      <c r="C11" s="3">
        <v>1.3</v>
      </c>
      <c r="D11" s="3">
        <v>5.3</v>
      </c>
      <c r="E11" s="3">
        <v>8.1</v>
      </c>
      <c r="F11" s="3">
        <v>13.2</v>
      </c>
      <c r="G11" s="3">
        <v>16.100000000000001</v>
      </c>
      <c r="H11" s="3">
        <v>18.399999999999999</v>
      </c>
      <c r="I11" s="3">
        <v>18.399999999999999</v>
      </c>
      <c r="J11" s="3">
        <v>13.9</v>
      </c>
      <c r="K11" s="3">
        <v>9.6</v>
      </c>
      <c r="L11" s="3">
        <v>3.9</v>
      </c>
      <c r="M11" s="3">
        <v>1.2</v>
      </c>
      <c r="N11" s="3">
        <f t="shared" si="0"/>
        <v>9.1083333333333325</v>
      </c>
      <c r="P11" s="20">
        <v>26</v>
      </c>
      <c r="Q11" s="35">
        <v>2.163E-2</v>
      </c>
      <c r="R11" s="36">
        <v>677.83333333333326</v>
      </c>
      <c r="S11" s="16">
        <v>6</v>
      </c>
      <c r="T11" s="35">
        <v>3.5100000000000001E-3</v>
      </c>
      <c r="U11" s="37">
        <v>4.1000000000000003E-3</v>
      </c>
      <c r="V11" s="23"/>
      <c r="X11" s="314"/>
      <c r="Y11" s="28">
        <v>2</v>
      </c>
      <c r="Z11" s="22">
        <v>0.82</v>
      </c>
      <c r="AA11" s="22">
        <v>0.73</v>
      </c>
      <c r="AB11" s="22">
        <v>0.66</v>
      </c>
      <c r="AC11" s="22">
        <v>0.56000000000000005</v>
      </c>
      <c r="AD11" s="22">
        <v>0.76</v>
      </c>
      <c r="AE11" s="40">
        <v>0.61</v>
      </c>
      <c r="AF11" s="22">
        <v>0.51</v>
      </c>
      <c r="AG11" s="22">
        <v>0.39</v>
      </c>
      <c r="AH11" s="22">
        <v>0.63</v>
      </c>
      <c r="AI11" s="22">
        <v>0.47</v>
      </c>
      <c r="AJ11" s="22">
        <v>0.37</v>
      </c>
      <c r="AK11" s="22">
        <v>0.27</v>
      </c>
      <c r="AL11" s="22">
        <v>0.5</v>
      </c>
      <c r="AM11" s="22">
        <v>0.34</v>
      </c>
      <c r="AN11" s="22">
        <v>0.26</v>
      </c>
      <c r="AO11" s="30">
        <v>0.18</v>
      </c>
    </row>
    <row r="12" spans="1:45" x14ac:dyDescent="0.3">
      <c r="A12" s="1" t="s">
        <v>28</v>
      </c>
      <c r="B12" s="3">
        <v>0.6</v>
      </c>
      <c r="C12" s="3">
        <v>1.7</v>
      </c>
      <c r="D12" s="3">
        <v>5.8</v>
      </c>
      <c r="E12" s="3">
        <v>8.8000000000000007</v>
      </c>
      <c r="F12" s="3">
        <v>14</v>
      </c>
      <c r="G12" s="3">
        <v>16.8</v>
      </c>
      <c r="H12" s="3">
        <v>18.899999999999999</v>
      </c>
      <c r="I12" s="3">
        <v>18.7</v>
      </c>
      <c r="J12" s="3">
        <v>14.7</v>
      </c>
      <c r="K12" s="3">
        <v>10</v>
      </c>
      <c r="L12" s="3">
        <v>4.4000000000000004</v>
      </c>
      <c r="M12" s="3">
        <v>2</v>
      </c>
      <c r="N12" s="3">
        <f t="shared" si="0"/>
        <v>9.7000000000000011</v>
      </c>
      <c r="P12" s="20">
        <v>27</v>
      </c>
      <c r="Q12" s="35">
        <v>2.3E-2</v>
      </c>
      <c r="R12" s="36">
        <v>677.16666666666663</v>
      </c>
      <c r="S12" s="16">
        <v>7</v>
      </c>
      <c r="T12" s="35">
        <v>3.7599999999999999E-3</v>
      </c>
      <c r="U12" s="37">
        <v>4.3899999999999998E-3</v>
      </c>
      <c r="V12" s="23"/>
      <c r="X12" s="314"/>
      <c r="Y12" s="41">
        <v>2.5</v>
      </c>
      <c r="Z12" s="42">
        <f>(Z11+Z13)/2</f>
        <v>0.79499999999999993</v>
      </c>
      <c r="AA12" s="42">
        <f t="shared" ref="AA12" si="2">(AA11+AA13)/2</f>
        <v>0.69500000000000006</v>
      </c>
      <c r="AB12" s="42">
        <f t="shared" ref="AB12" si="3">(AB11+AB13)/2</f>
        <v>0.62</v>
      </c>
      <c r="AC12" s="42">
        <f t="shared" ref="AC12" si="4">(AC11+AC13)/2</f>
        <v>0.52</v>
      </c>
      <c r="AD12" s="42">
        <f t="shared" ref="AD12" si="5">(AD11+AD13)/2</f>
        <v>0.745</v>
      </c>
      <c r="AE12" s="43">
        <f t="shared" ref="AE12" si="6">(AE11+AE13)/2</f>
        <v>0.59</v>
      </c>
      <c r="AF12" s="42">
        <f t="shared" ref="AF12" si="7">(AF11+AF13)/2</f>
        <v>0.49</v>
      </c>
      <c r="AG12" s="42">
        <f t="shared" ref="AG12" si="8">(AG11+AG13)/2</f>
        <v>0.37</v>
      </c>
      <c r="AH12" s="42">
        <f t="shared" ref="AH12" si="9">(AH11+AH13)/2</f>
        <v>0.62</v>
      </c>
      <c r="AI12" s="42">
        <f t="shared" ref="AI12" si="10">(AI11+AI13)/2</f>
        <v>0.45999999999999996</v>
      </c>
      <c r="AJ12" s="42">
        <f t="shared" ref="AJ12" si="11">(AJ11+AJ13)/2</f>
        <v>0.36</v>
      </c>
      <c r="AK12" s="42">
        <f t="shared" ref="AK12" si="12">(AK11+AK13)/2</f>
        <v>0.26</v>
      </c>
      <c r="AL12" s="42">
        <f t="shared" ref="AL12" si="13">(AL11+AL13)/2</f>
        <v>0.495</v>
      </c>
      <c r="AM12" s="42">
        <f t="shared" ref="AM12" si="14">(AM11+AM13)/2</f>
        <v>0.33500000000000002</v>
      </c>
      <c r="AN12" s="42">
        <f t="shared" ref="AN12" si="15">(AN11+AN13)/2</f>
        <v>0.255</v>
      </c>
      <c r="AO12" s="44">
        <f t="shared" ref="AO12" si="16">(AO11+AO13)/2</f>
        <v>0.17499999999999999</v>
      </c>
    </row>
    <row r="13" spans="1:45" x14ac:dyDescent="0.3">
      <c r="A13" s="1" t="s">
        <v>29</v>
      </c>
      <c r="B13" s="3">
        <v>0.5</v>
      </c>
      <c r="C13" s="3">
        <v>1.7</v>
      </c>
      <c r="D13" s="3">
        <v>5.8</v>
      </c>
      <c r="E13" s="3">
        <v>8.9</v>
      </c>
      <c r="F13" s="3">
        <v>14.1</v>
      </c>
      <c r="G13" s="3">
        <v>16.5</v>
      </c>
      <c r="H13" s="3">
        <v>18.5</v>
      </c>
      <c r="I13" s="3">
        <v>18.399999999999999</v>
      </c>
      <c r="J13" s="3">
        <v>14.2</v>
      </c>
      <c r="K13" s="3">
        <v>10.4</v>
      </c>
      <c r="L13" s="3">
        <v>4.7</v>
      </c>
      <c r="M13" s="3">
        <v>1.7</v>
      </c>
      <c r="N13" s="3">
        <f t="shared" si="0"/>
        <v>9.6166666666666689</v>
      </c>
      <c r="P13" s="20">
        <v>28</v>
      </c>
      <c r="Q13" s="35">
        <v>2.443E-2</v>
      </c>
      <c r="R13" s="36">
        <v>676.5</v>
      </c>
      <c r="S13" s="16">
        <v>8</v>
      </c>
      <c r="T13" s="35">
        <v>4.0299999999999997E-3</v>
      </c>
      <c r="U13" s="37">
        <v>4.7000000000000002E-3</v>
      </c>
      <c r="V13" s="23"/>
      <c r="X13" s="314"/>
      <c r="Y13" s="28">
        <v>3</v>
      </c>
      <c r="Z13" s="22">
        <v>0.77</v>
      </c>
      <c r="AA13" s="22">
        <v>0.66</v>
      </c>
      <c r="AB13" s="22">
        <v>0.57999999999999996</v>
      </c>
      <c r="AC13" s="22">
        <v>0.48</v>
      </c>
      <c r="AD13" s="22">
        <v>0.73</v>
      </c>
      <c r="AE13" s="40">
        <v>0.56999999999999995</v>
      </c>
      <c r="AF13" s="22">
        <v>0.47</v>
      </c>
      <c r="AG13" s="22">
        <v>0.35</v>
      </c>
      <c r="AH13" s="22">
        <v>0.61</v>
      </c>
      <c r="AI13" s="22">
        <v>0.45</v>
      </c>
      <c r="AJ13" s="22">
        <v>0.35</v>
      </c>
      <c r="AK13" s="22">
        <v>0.25</v>
      </c>
      <c r="AL13" s="22">
        <v>0.49</v>
      </c>
      <c r="AM13" s="22">
        <v>0.33</v>
      </c>
      <c r="AN13" s="22">
        <v>0.25</v>
      </c>
      <c r="AO13" s="30">
        <v>0.17</v>
      </c>
    </row>
    <row r="14" spans="1:45" x14ac:dyDescent="0.3">
      <c r="A14" s="1" t="s">
        <v>30</v>
      </c>
      <c r="B14" s="3">
        <v>-4.7</v>
      </c>
      <c r="C14" s="3">
        <v>-4.2</v>
      </c>
      <c r="D14" s="3">
        <v>-1.1000000000000001</v>
      </c>
      <c r="E14" s="3">
        <v>1.8</v>
      </c>
      <c r="F14" s="3">
        <v>7.2</v>
      </c>
      <c r="G14" s="3">
        <v>9.9</v>
      </c>
      <c r="H14" s="3">
        <v>12.3</v>
      </c>
      <c r="I14" s="3">
        <v>12.3</v>
      </c>
      <c r="J14" s="3">
        <v>8.4</v>
      </c>
      <c r="K14" s="3">
        <v>5.0999999999999996</v>
      </c>
      <c r="L14" s="3">
        <v>-0.7</v>
      </c>
      <c r="M14" s="3">
        <v>-3.4</v>
      </c>
      <c r="N14" s="3">
        <f t="shared" si="0"/>
        <v>3.5749999999999997</v>
      </c>
      <c r="P14" s="20">
        <v>29</v>
      </c>
      <c r="Q14" s="35">
        <v>2.596E-2</v>
      </c>
      <c r="R14" s="36">
        <v>675.84722222222217</v>
      </c>
      <c r="S14" s="16">
        <v>9</v>
      </c>
      <c r="T14" s="35">
        <v>4.3099999999999996E-3</v>
      </c>
      <c r="U14" s="37">
        <v>5.0400000000000002E-3</v>
      </c>
      <c r="V14" s="23"/>
      <c r="X14" s="314"/>
      <c r="Y14" s="28">
        <v>5</v>
      </c>
      <c r="Z14" s="22">
        <v>0.69</v>
      </c>
      <c r="AA14" s="22">
        <v>0.56000000000000005</v>
      </c>
      <c r="AB14" s="22">
        <v>0.47</v>
      </c>
      <c r="AC14" s="22">
        <v>0.37</v>
      </c>
      <c r="AD14" s="22">
        <v>0.66</v>
      </c>
      <c r="AE14" s="40">
        <v>0.51</v>
      </c>
      <c r="AF14" s="22">
        <v>0.41</v>
      </c>
      <c r="AG14" s="22">
        <v>0.3</v>
      </c>
      <c r="AH14" s="22">
        <v>0.56999999999999995</v>
      </c>
      <c r="AI14" s="22">
        <v>0.41</v>
      </c>
      <c r="AJ14" s="22">
        <v>0.32</v>
      </c>
      <c r="AK14" s="22">
        <v>0.22</v>
      </c>
      <c r="AL14" s="22">
        <v>0.47</v>
      </c>
      <c r="AM14" s="22">
        <v>0.31</v>
      </c>
      <c r="AN14" s="22">
        <v>0.23</v>
      </c>
      <c r="AO14" s="30">
        <v>0.16</v>
      </c>
    </row>
    <row r="15" spans="1:45" x14ac:dyDescent="0.3">
      <c r="A15" s="1" t="s">
        <v>31</v>
      </c>
      <c r="B15" s="3">
        <v>-1.1000000000000001</v>
      </c>
      <c r="C15" s="3">
        <v>-0.8</v>
      </c>
      <c r="D15" s="3">
        <v>2.2000000000000002</v>
      </c>
      <c r="E15" s="3">
        <v>4.9000000000000004</v>
      </c>
      <c r="F15" s="3">
        <v>10.199999999999999</v>
      </c>
      <c r="G15" s="3">
        <v>12.9</v>
      </c>
      <c r="H15" s="3">
        <v>15.3</v>
      </c>
      <c r="I15" s="3">
        <v>15.3</v>
      </c>
      <c r="J15" s="3">
        <v>11.3</v>
      </c>
      <c r="K15" s="3">
        <v>8</v>
      </c>
      <c r="L15" s="3">
        <v>2.2999999999999998</v>
      </c>
      <c r="M15" s="3">
        <v>-0.1</v>
      </c>
      <c r="N15" s="3">
        <f t="shared" si="0"/>
        <v>6.6999999999999993</v>
      </c>
      <c r="P15" s="20">
        <v>30</v>
      </c>
      <c r="Q15" s="35">
        <v>2.7560000000000001E-2</v>
      </c>
      <c r="R15" s="36">
        <v>675.19444444444434</v>
      </c>
      <c r="S15" s="16">
        <v>10</v>
      </c>
      <c r="T15" s="35">
        <v>4.6100000000000004E-3</v>
      </c>
      <c r="U15" s="37">
        <v>5.3899999999999998E-3</v>
      </c>
      <c r="V15" s="23"/>
      <c r="X15" s="314"/>
      <c r="Y15" s="28">
        <v>10</v>
      </c>
      <c r="Z15" s="22">
        <v>0.55000000000000004</v>
      </c>
      <c r="AA15" s="22">
        <v>0.41</v>
      </c>
      <c r="AB15" s="22">
        <v>0.33</v>
      </c>
      <c r="AC15" s="22">
        <v>0.25</v>
      </c>
      <c r="AD15" s="22">
        <v>0.57999999999999996</v>
      </c>
      <c r="AE15" s="40">
        <v>0.41</v>
      </c>
      <c r="AF15" s="22">
        <v>0.32</v>
      </c>
      <c r="AG15" s="22">
        <v>0.22</v>
      </c>
      <c r="AH15" s="22">
        <v>0.5</v>
      </c>
      <c r="AI15" s="22">
        <v>0.33</v>
      </c>
      <c r="AJ15" s="22">
        <v>0.25</v>
      </c>
      <c r="AK15" s="22">
        <v>0.17</v>
      </c>
      <c r="AL15" s="22">
        <v>0.42</v>
      </c>
      <c r="AM15" s="22">
        <v>0.27</v>
      </c>
      <c r="AN15" s="22">
        <v>0.2</v>
      </c>
      <c r="AO15" s="30">
        <v>0.13</v>
      </c>
    </row>
    <row r="16" spans="1:45" x14ac:dyDescent="0.3">
      <c r="A16" s="1" t="s">
        <v>33</v>
      </c>
      <c r="B16" s="3"/>
      <c r="C16" s="3"/>
      <c r="D16" s="3"/>
      <c r="E16" s="3"/>
      <c r="F16" s="3"/>
      <c r="G16" s="3"/>
      <c r="H16" s="3"/>
      <c r="I16" s="3"/>
      <c r="J16" s="3"/>
      <c r="K16" s="3"/>
      <c r="L16" s="3"/>
      <c r="M16" s="3"/>
      <c r="N16" s="3" t="e">
        <f t="shared" si="0"/>
        <v>#DIV/0!</v>
      </c>
      <c r="P16" s="20">
        <v>31</v>
      </c>
      <c r="Q16" s="35">
        <v>2.9260000000000001E-2</v>
      </c>
      <c r="R16" s="36">
        <v>674.52777777777771</v>
      </c>
      <c r="S16" s="16">
        <v>11</v>
      </c>
      <c r="T16" s="35">
        <v>4.9399999999999999E-3</v>
      </c>
      <c r="U16" s="37">
        <v>5.77E-3</v>
      </c>
      <c r="V16" s="23"/>
      <c r="X16" s="26" t="s">
        <v>299</v>
      </c>
      <c r="Y16" s="27">
        <v>1</v>
      </c>
      <c r="Z16" s="27">
        <v>2</v>
      </c>
      <c r="AA16" s="27">
        <v>3</v>
      </c>
      <c r="AB16" s="27">
        <v>4</v>
      </c>
      <c r="AC16" s="45">
        <v>5</v>
      </c>
      <c r="AD16" s="27">
        <v>6</v>
      </c>
      <c r="AE16" s="27">
        <v>7</v>
      </c>
      <c r="AF16" s="27">
        <v>8</v>
      </c>
      <c r="AG16" s="45">
        <v>9</v>
      </c>
      <c r="AH16" s="27">
        <v>10</v>
      </c>
      <c r="AI16" s="27">
        <v>11</v>
      </c>
      <c r="AJ16" s="27">
        <v>12</v>
      </c>
      <c r="AK16" s="45">
        <v>13</v>
      </c>
      <c r="AL16" s="27">
        <v>14</v>
      </c>
      <c r="AM16" s="27">
        <v>15</v>
      </c>
      <c r="AN16" s="27">
        <v>16</v>
      </c>
      <c r="AO16" s="25">
        <v>17</v>
      </c>
    </row>
    <row r="17" spans="1:43" x14ac:dyDescent="0.3">
      <c r="A17" s="1" t="s">
        <v>34</v>
      </c>
      <c r="B17" s="3"/>
      <c r="C17" s="3"/>
      <c r="D17" s="3"/>
      <c r="E17" s="3"/>
      <c r="F17" s="3"/>
      <c r="G17" s="3"/>
      <c r="H17" s="3"/>
      <c r="I17" s="3"/>
      <c r="J17" s="3"/>
      <c r="K17" s="3"/>
      <c r="L17" s="3"/>
      <c r="M17" s="3"/>
      <c r="N17" s="3" t="e">
        <f t="shared" si="0"/>
        <v>#DIV/0!</v>
      </c>
      <c r="P17" s="20">
        <v>32</v>
      </c>
      <c r="Q17" s="35">
        <v>3.1060000000000001E-2</v>
      </c>
      <c r="R17" s="36">
        <v>673.86111111111109</v>
      </c>
      <c r="S17" s="16">
        <v>12</v>
      </c>
      <c r="T17" s="35">
        <v>5.28E-3</v>
      </c>
      <c r="U17" s="37">
        <v>6.1599999999999997E-3</v>
      </c>
      <c r="V17" s="23"/>
      <c r="Z17" s="15"/>
      <c r="AA17" s="15"/>
    </row>
    <row r="18" spans="1:43" x14ac:dyDescent="0.3">
      <c r="A18" s="1" t="s">
        <v>35</v>
      </c>
      <c r="B18" s="3"/>
      <c r="C18" s="3"/>
      <c r="D18" s="3"/>
      <c r="E18" s="3"/>
      <c r="F18" s="3"/>
      <c r="G18" s="3"/>
      <c r="H18" s="3"/>
      <c r="I18" s="3"/>
      <c r="J18" s="3"/>
      <c r="K18" s="3"/>
      <c r="L18" s="3"/>
      <c r="M18" s="3"/>
      <c r="N18" s="3" t="e">
        <f t="shared" si="0"/>
        <v>#DIV/0!</v>
      </c>
      <c r="P18" s="20">
        <v>33</v>
      </c>
      <c r="Q18" s="35">
        <v>3.295E-2</v>
      </c>
      <c r="R18" s="36">
        <v>673.20833333333326</v>
      </c>
      <c r="S18" s="16">
        <v>13</v>
      </c>
      <c r="T18" s="35">
        <v>5.64E-3</v>
      </c>
      <c r="U18" s="37">
        <v>6.5900000000000004E-3</v>
      </c>
      <c r="V18" s="23"/>
      <c r="Y18" s="11" t="s">
        <v>302</v>
      </c>
      <c r="Z18" s="24">
        <f>Schwimmbadbilanz!D23</f>
        <v>0</v>
      </c>
      <c r="AA18" s="10" t="s">
        <v>303</v>
      </c>
    </row>
    <row r="19" spans="1:43" x14ac:dyDescent="0.3">
      <c r="A19" s="1" t="s">
        <v>36</v>
      </c>
      <c r="B19" s="3"/>
      <c r="C19" s="3"/>
      <c r="D19" s="3"/>
      <c r="E19" s="3"/>
      <c r="F19" s="3"/>
      <c r="G19" s="3"/>
      <c r="H19" s="3"/>
      <c r="I19" s="3"/>
      <c r="J19" s="3"/>
      <c r="K19" s="3"/>
      <c r="L19" s="3"/>
      <c r="M19" s="3"/>
      <c r="N19" s="3" t="e">
        <f t="shared" si="0"/>
        <v>#DIV/0!</v>
      </c>
      <c r="P19" s="20">
        <v>34</v>
      </c>
      <c r="Q19" s="35">
        <v>3.4950000000000002E-2</v>
      </c>
      <c r="R19" s="36">
        <v>672.55555555555554</v>
      </c>
      <c r="S19" s="16">
        <v>14</v>
      </c>
      <c r="T19" s="35">
        <v>6.0200000000000002E-3</v>
      </c>
      <c r="U19" s="37">
        <v>7.0400000000000003E-3</v>
      </c>
      <c r="V19" s="23"/>
      <c r="Y19" s="11" t="s">
        <v>293</v>
      </c>
      <c r="Z19" s="23">
        <f>'U-Wert'!E27</f>
        <v>0</v>
      </c>
      <c r="AA19" s="10" t="s">
        <v>294</v>
      </c>
    </row>
    <row r="20" spans="1:43" x14ac:dyDescent="0.3">
      <c r="A20" s="1" t="s">
        <v>37</v>
      </c>
      <c r="B20" s="3"/>
      <c r="C20" s="3"/>
      <c r="D20" s="3"/>
      <c r="E20" s="3"/>
      <c r="F20" s="3"/>
      <c r="G20" s="3"/>
      <c r="H20" s="3"/>
      <c r="I20" s="3"/>
      <c r="J20" s="3"/>
      <c r="K20" s="3"/>
      <c r="L20" s="3"/>
      <c r="M20" s="3"/>
      <c r="N20" s="3" t="e">
        <f t="shared" si="0"/>
        <v>#DIV/0!</v>
      </c>
      <c r="P20" s="20">
        <v>35</v>
      </c>
      <c r="Q20" s="16"/>
      <c r="R20" s="16"/>
      <c r="S20" s="16">
        <v>15</v>
      </c>
      <c r="T20" s="35">
        <v>6.43E-3</v>
      </c>
      <c r="U20" s="37">
        <v>7.5100000000000002E-3</v>
      </c>
      <c r="V20" s="23"/>
      <c r="Z20" s="23">
        <f>ABS(Z6-$Z$19)</f>
        <v>0.2</v>
      </c>
      <c r="AA20" s="10">
        <f t="shared" ref="AA20:AC20" si="17">ABS(AA6-$Z$19)</f>
        <v>0.4</v>
      </c>
      <c r="AB20" s="10">
        <f t="shared" si="17"/>
        <v>0.6</v>
      </c>
      <c r="AC20" s="10">
        <f t="shared" si="17"/>
        <v>1</v>
      </c>
    </row>
    <row r="21" spans="1:43" x14ac:dyDescent="0.3">
      <c r="A21" s="1" t="s">
        <v>38</v>
      </c>
      <c r="B21" s="3"/>
      <c r="C21" s="3"/>
      <c r="D21" s="3"/>
      <c r="E21" s="3"/>
      <c r="F21" s="3"/>
      <c r="G21" s="3"/>
      <c r="H21" s="3"/>
      <c r="I21" s="3"/>
      <c r="J21" s="3"/>
      <c r="K21" s="3"/>
      <c r="L21" s="3"/>
      <c r="M21" s="3"/>
      <c r="N21" s="3" t="e">
        <f t="shared" si="0"/>
        <v>#DIV/0!</v>
      </c>
      <c r="P21" s="20">
        <v>36</v>
      </c>
      <c r="Q21" s="16"/>
      <c r="R21" s="16"/>
      <c r="S21" s="16">
        <v>16</v>
      </c>
      <c r="T21" s="35">
        <v>6.8599999999999998E-3</v>
      </c>
      <c r="U21" s="37">
        <v>8.0099999999999998E-3</v>
      </c>
      <c r="V21" s="23"/>
      <c r="Y21" s="10" t="s">
        <v>297</v>
      </c>
      <c r="Z21" s="10">
        <f>IF(AND(Z20&lt;AA20,Z20&lt;AB20,Z20&lt;AC20),2,IF(AND(AA20&lt;Z20,AA20&lt;AB20,AA20&lt;AC20),3,IF(AND(AB20&lt;Z20,AB20&lt;AA20,AB20&lt;AC20),4,5)))</f>
        <v>2</v>
      </c>
      <c r="AA21" s="10" t="s">
        <v>296</v>
      </c>
    </row>
    <row r="22" spans="1:43" ht="15.6" x14ac:dyDescent="0.35">
      <c r="A22" s="1" t="s">
        <v>39</v>
      </c>
      <c r="B22" s="3"/>
      <c r="C22" s="3"/>
      <c r="D22" s="3"/>
      <c r="E22" s="3"/>
      <c r="F22" s="3"/>
      <c r="G22" s="3"/>
      <c r="H22" s="3"/>
      <c r="I22" s="3"/>
      <c r="J22" s="3"/>
      <c r="K22" s="3"/>
      <c r="L22" s="3"/>
      <c r="M22" s="3"/>
      <c r="N22" s="3" t="e">
        <f t="shared" si="0"/>
        <v>#DIV/0!</v>
      </c>
      <c r="P22" s="20">
        <v>37</v>
      </c>
      <c r="Q22" s="16"/>
      <c r="R22" s="16"/>
      <c r="S22" s="16">
        <v>17</v>
      </c>
      <c r="T22" s="35">
        <v>7.3099999999999997E-3</v>
      </c>
      <c r="U22" s="37">
        <v>8.5500000000000003E-3</v>
      </c>
      <c r="V22" s="23"/>
      <c r="X22" s="46" t="s">
        <v>317</v>
      </c>
      <c r="Y22" s="47" t="b">
        <f>IF(Schwimmbadbilanz!C24=P50,'U-Wert'!L23,IF(Schwimmbadbilanz!C24=P51,VLOOKUP(Schwimmbadbilanz!F24,AQ6:AR7,2,FALSE),IF(Schwimmbadbilanz!C24=P52,1)))</f>
        <v>0</v>
      </c>
      <c r="Z22" s="62"/>
      <c r="AE22" s="29" t="b">
        <f>IF(Schwimmbadbilanz!C24=P50,VLOOKUP(MROUND(Schwimmbadbilanz!D23,0.5),$Y$7:$AO$15,Z21,FALSE),IF(Schwimmbadbilanz!C24=P51,VLOOKUP(Schwimmbadbilanz!F24,AQ6:AR7,2,FALSE),IF(Schwimmbadbilanz!C24=P52,1)))</f>
        <v>0</v>
      </c>
      <c r="AF22" s="313" t="s">
        <v>447</v>
      </c>
      <c r="AG22" s="313"/>
      <c r="AH22" s="313"/>
      <c r="AI22" s="313"/>
      <c r="AJ22" s="313"/>
      <c r="AK22" s="313"/>
      <c r="AL22" s="313"/>
      <c r="AM22" s="313"/>
      <c r="AN22" s="313"/>
      <c r="AO22" s="313"/>
      <c r="AP22" s="313"/>
      <c r="AQ22" s="313"/>
    </row>
    <row r="23" spans="1:43" x14ac:dyDescent="0.3">
      <c r="A23" s="1" t="s">
        <v>40</v>
      </c>
      <c r="B23" s="3"/>
      <c r="C23" s="3"/>
      <c r="D23" s="3"/>
      <c r="E23" s="3"/>
      <c r="F23" s="3"/>
      <c r="G23" s="3"/>
      <c r="H23" s="3"/>
      <c r="I23" s="3"/>
      <c r="J23" s="3"/>
      <c r="K23" s="3"/>
      <c r="L23" s="3"/>
      <c r="M23" s="3"/>
      <c r="N23" s="3" t="e">
        <f t="shared" si="0"/>
        <v>#DIV/0!</v>
      </c>
      <c r="P23" s="20">
        <v>38</v>
      </c>
      <c r="Q23" s="16"/>
      <c r="R23" s="16"/>
      <c r="S23" s="16">
        <v>18</v>
      </c>
      <c r="T23" s="35">
        <v>7.7999999999999996E-3</v>
      </c>
      <c r="U23" s="37">
        <v>9.11E-3</v>
      </c>
      <c r="V23" s="23"/>
      <c r="Y23" s="10" t="s">
        <v>295</v>
      </c>
      <c r="Z23" s="23">
        <f>'U-Wert'!E46</f>
        <v>0</v>
      </c>
      <c r="AA23" s="10" t="s">
        <v>294</v>
      </c>
    </row>
    <row r="24" spans="1:43" x14ac:dyDescent="0.3">
      <c r="A24" s="1" t="s">
        <v>41</v>
      </c>
      <c r="B24" s="3"/>
      <c r="C24" s="3"/>
      <c r="D24" s="3"/>
      <c r="E24" s="3"/>
      <c r="F24" s="3"/>
      <c r="G24" s="3"/>
      <c r="H24" s="3"/>
      <c r="I24" s="3"/>
      <c r="J24" s="3"/>
      <c r="K24" s="3"/>
      <c r="L24" s="3"/>
      <c r="M24" s="3"/>
      <c r="N24" s="3" t="e">
        <f t="shared" si="0"/>
        <v>#DIV/0!</v>
      </c>
      <c r="P24" s="20">
        <v>39</v>
      </c>
      <c r="Q24" s="16"/>
      <c r="R24" s="16"/>
      <c r="S24" s="16">
        <v>19</v>
      </c>
      <c r="T24" s="35">
        <v>8.3099999999999997E-3</v>
      </c>
      <c r="U24" s="37">
        <v>9.7099999999999999E-3</v>
      </c>
      <c r="V24" s="23"/>
      <c r="Z24" s="23">
        <f>ABS(Z6-$Z$23)</f>
        <v>0.2</v>
      </c>
      <c r="AA24" s="10">
        <f t="shared" ref="AA24:AC24" si="18">ABS(AA6-$Z$23)</f>
        <v>0.4</v>
      </c>
      <c r="AB24" s="10">
        <f t="shared" si="18"/>
        <v>0.6</v>
      </c>
      <c r="AC24" s="10">
        <f t="shared" si="18"/>
        <v>1</v>
      </c>
    </row>
    <row r="25" spans="1:43" x14ac:dyDescent="0.3">
      <c r="A25" s="1" t="s">
        <v>42</v>
      </c>
      <c r="B25" s="3"/>
      <c r="C25" s="3"/>
      <c r="D25" s="3"/>
      <c r="E25" s="3"/>
      <c r="F25" s="3"/>
      <c r="G25" s="3"/>
      <c r="H25" s="3"/>
      <c r="I25" s="3"/>
      <c r="J25" s="3"/>
      <c r="K25" s="3"/>
      <c r="L25" s="3"/>
      <c r="M25" s="3"/>
      <c r="N25" s="3" t="e">
        <f t="shared" si="0"/>
        <v>#DIV/0!</v>
      </c>
      <c r="P25" s="26">
        <v>40</v>
      </c>
      <c r="Q25" s="27"/>
      <c r="R25" s="27"/>
      <c r="S25" s="16">
        <v>20</v>
      </c>
      <c r="T25" s="35">
        <v>8.8500000000000002E-3</v>
      </c>
      <c r="U25" s="37">
        <v>1.03E-2</v>
      </c>
      <c r="V25" s="23"/>
      <c r="Y25" s="10" t="s">
        <v>300</v>
      </c>
      <c r="Z25" s="10">
        <f>IF(AND(Z24&lt;AA24,Z24&lt;AB24,Z24&lt;AC24),1,IF(AND(AA24&lt;Z24,AA24&lt;AB24,AA24&lt;AC24),2,IF(AND(AB24&lt;Z24,AB24&lt;AA24,AB24&lt;AC24),3,4)))</f>
        <v>1</v>
      </c>
    </row>
    <row r="26" spans="1:43" ht="15.6" x14ac:dyDescent="0.35">
      <c r="A26" s="1" t="s">
        <v>43</v>
      </c>
      <c r="B26" s="3"/>
      <c r="C26" s="3"/>
      <c r="D26" s="3"/>
      <c r="E26" s="3"/>
      <c r="F26" s="3"/>
      <c r="G26" s="3"/>
      <c r="H26" s="3"/>
      <c r="I26" s="3"/>
      <c r="J26" s="3"/>
      <c r="K26" s="3"/>
      <c r="L26" s="3"/>
      <c r="M26" s="3"/>
      <c r="N26" s="3" t="e">
        <f t="shared" si="0"/>
        <v>#DIV/0!</v>
      </c>
      <c r="S26" s="20">
        <v>21</v>
      </c>
      <c r="T26" s="35">
        <v>9.4199999999999996E-3</v>
      </c>
      <c r="U26" s="37">
        <v>1.0999999999999999E-2</v>
      </c>
      <c r="V26" s="23"/>
      <c r="X26" s="15" t="s">
        <v>105</v>
      </c>
      <c r="Y26" s="48" t="e">
        <f>Schwimmbadbilanz!D21*Schwimmbadbilanz!D22/(Schwimmbadbilanz!D21*2+Schwimmbadbilanz!D22*2)</f>
        <v>#DIV/0!</v>
      </c>
      <c r="Z26" s="10" t="e">
        <f>ABS(2-$Y$26)</f>
        <v>#DIV/0!</v>
      </c>
      <c r="AA26" s="10" t="e">
        <f>ABS(5-$Y$26)</f>
        <v>#DIV/0!</v>
      </c>
      <c r="AB26" s="10" t="e">
        <f>ABS(10-$Y$26)</f>
        <v>#DIV/0!</v>
      </c>
    </row>
    <row r="27" spans="1:43" x14ac:dyDescent="0.3">
      <c r="A27" s="1"/>
      <c r="B27" s="3"/>
      <c r="C27" s="3"/>
      <c r="D27" s="3"/>
      <c r="E27" s="3"/>
      <c r="F27" s="3"/>
      <c r="G27" s="3"/>
      <c r="H27" s="3"/>
      <c r="I27" s="3"/>
      <c r="J27" s="3"/>
      <c r="K27" s="3"/>
      <c r="L27" s="3"/>
      <c r="M27" s="3"/>
      <c r="N27" s="3"/>
      <c r="S27" s="20">
        <v>22</v>
      </c>
      <c r="T27" s="35">
        <v>0.01</v>
      </c>
      <c r="U27" s="37">
        <v>1.17E-2</v>
      </c>
      <c r="V27" s="23"/>
      <c r="X27" s="15"/>
      <c r="Y27" s="10" t="s">
        <v>301</v>
      </c>
      <c r="Z27" s="10" t="e">
        <f>IF(AND(Z26&lt;AA26,Z26&lt;AB26),5,IF(AND(AA26&lt;Z26,AA26&lt;AB26),9,13))</f>
        <v>#DIV/0!</v>
      </c>
    </row>
    <row r="28" spans="1:43" x14ac:dyDescent="0.3">
      <c r="A28" s="1" t="s">
        <v>44</v>
      </c>
      <c r="B28" s="3"/>
      <c r="C28" s="3"/>
      <c r="D28" s="3"/>
      <c r="E28" s="3"/>
      <c r="F28" s="3"/>
      <c r="G28" s="3"/>
      <c r="H28" s="3"/>
      <c r="I28" s="3"/>
      <c r="J28" s="3"/>
      <c r="K28" s="3"/>
      <c r="L28" s="3"/>
      <c r="M28" s="3"/>
      <c r="N28" s="3" t="e">
        <f t="shared" si="0"/>
        <v>#DIV/0!</v>
      </c>
      <c r="S28" s="20">
        <v>23</v>
      </c>
      <c r="T28" s="35">
        <v>1.0699999999999999E-2</v>
      </c>
      <c r="U28" s="37">
        <v>1.2500000000000001E-2</v>
      </c>
      <c r="V28" s="23"/>
      <c r="Y28" s="10" t="s">
        <v>298</v>
      </c>
      <c r="Z28" s="10" t="e">
        <f>Z27+Z25</f>
        <v>#DIV/0!</v>
      </c>
    </row>
    <row r="29" spans="1:43" ht="15.6" x14ac:dyDescent="0.35">
      <c r="A29" s="1" t="s">
        <v>45</v>
      </c>
      <c r="B29" s="3"/>
      <c r="C29" s="3"/>
      <c r="D29" s="3"/>
      <c r="E29" s="3"/>
      <c r="F29" s="3"/>
      <c r="G29" s="3"/>
      <c r="H29" s="3"/>
      <c r="I29" s="3"/>
      <c r="J29" s="3"/>
      <c r="K29" s="3"/>
      <c r="L29" s="3"/>
      <c r="M29" s="3"/>
      <c r="N29" s="3" t="e">
        <f t="shared" si="0"/>
        <v>#DIV/0!</v>
      </c>
      <c r="P29" s="49" t="s">
        <v>10</v>
      </c>
      <c r="S29" s="20">
        <v>24</v>
      </c>
      <c r="T29" s="35">
        <v>1.1299999999999999E-2</v>
      </c>
      <c r="U29" s="37">
        <v>1.3299999999999999E-2</v>
      </c>
      <c r="V29" s="23"/>
      <c r="X29" s="46" t="s">
        <v>318</v>
      </c>
      <c r="Y29" s="50" t="b">
        <f>IF(Schwimmbadbilanz!C25=P50,'U-Wert'!L15,IF(Schwimmbadbilanz!C25=P51,VLOOKUP(Schwimmbadbilanz!F25,AQ6:AR7,2,FALSE),IF(Schwimmbadbilanz!C25=P52,1)))</f>
        <v>0</v>
      </c>
      <c r="Z29" s="62"/>
      <c r="AE29" s="29" t="b">
        <f>IF(Schwimmbadbilanz!C25=P50,VLOOKUP(MROUND(Schwimmbadbilanz!D23,0.5),$Y$7:$AO$15,Z28,FALSE),IF(Schwimmbadbilanz!C25=P51,VLOOKUP(Schwimmbadbilanz!F25,AQ6:AR7,2,FALSE),IF(Schwimmbadbilanz!C25=P52,1)))</f>
        <v>0</v>
      </c>
      <c r="AF29" s="313" t="s">
        <v>447</v>
      </c>
      <c r="AG29" s="313"/>
      <c r="AH29" s="313"/>
      <c r="AI29" s="313"/>
      <c r="AJ29" s="313"/>
      <c r="AK29" s="313"/>
      <c r="AL29" s="313"/>
      <c r="AM29" s="313"/>
      <c r="AN29" s="313"/>
      <c r="AO29" s="313"/>
      <c r="AP29" s="313"/>
      <c r="AQ29" s="313"/>
    </row>
    <row r="30" spans="1:43" x14ac:dyDescent="0.3">
      <c r="A30" s="1" t="s">
        <v>46</v>
      </c>
      <c r="B30" s="3"/>
      <c r="C30" s="3"/>
      <c r="D30" s="3"/>
      <c r="E30" s="3"/>
      <c r="F30" s="3"/>
      <c r="G30" s="3"/>
      <c r="H30" s="3"/>
      <c r="I30" s="3"/>
      <c r="J30" s="3"/>
      <c r="K30" s="3"/>
      <c r="L30" s="3"/>
      <c r="M30" s="3"/>
      <c r="N30" s="3" t="e">
        <f t="shared" si="0"/>
        <v>#DIV/0!</v>
      </c>
      <c r="P30" s="51" t="s">
        <v>276</v>
      </c>
      <c r="S30" s="20">
        <v>25</v>
      </c>
      <c r="T30" s="35">
        <v>1.2E-2</v>
      </c>
      <c r="U30" s="37">
        <v>1.41E-2</v>
      </c>
      <c r="V30" s="23"/>
    </row>
    <row r="31" spans="1:43" x14ac:dyDescent="0.3">
      <c r="A31" s="1" t="s">
        <v>47</v>
      </c>
      <c r="B31" s="3"/>
      <c r="C31" s="3"/>
      <c r="D31" s="3"/>
      <c r="E31" s="3"/>
      <c r="F31" s="3"/>
      <c r="G31" s="3"/>
      <c r="H31" s="3"/>
      <c r="I31" s="3"/>
      <c r="J31" s="3"/>
      <c r="K31" s="3"/>
      <c r="L31" s="3"/>
      <c r="M31" s="3"/>
      <c r="N31" s="3" t="e">
        <f t="shared" si="0"/>
        <v>#DIV/0!</v>
      </c>
      <c r="Q31" s="24"/>
      <c r="R31" s="24"/>
      <c r="S31" s="20">
        <v>26</v>
      </c>
      <c r="T31" s="35">
        <v>1.2800000000000001E-2</v>
      </c>
      <c r="U31" s="37">
        <v>1.4999999999999999E-2</v>
      </c>
      <c r="V31" s="23"/>
    </row>
    <row r="32" spans="1:43" x14ac:dyDescent="0.3">
      <c r="A32" s="1" t="s">
        <v>48</v>
      </c>
      <c r="B32" s="3"/>
      <c r="C32" s="3"/>
      <c r="D32" s="3"/>
      <c r="E32" s="3"/>
      <c r="F32" s="3"/>
      <c r="G32" s="3"/>
      <c r="H32" s="3"/>
      <c r="I32" s="3"/>
      <c r="J32" s="3"/>
      <c r="K32" s="3"/>
      <c r="L32" s="3"/>
      <c r="M32" s="3"/>
      <c r="N32" s="3" t="e">
        <f t="shared" si="0"/>
        <v>#DIV/0!</v>
      </c>
      <c r="P32" s="49" t="s">
        <v>9</v>
      </c>
      <c r="Q32" s="24"/>
      <c r="R32" s="24"/>
      <c r="S32" s="20">
        <v>27</v>
      </c>
      <c r="T32" s="35">
        <v>1.3599999999999999E-2</v>
      </c>
      <c r="U32" s="37">
        <v>1.5900000000000001E-2</v>
      </c>
      <c r="V32" s="23"/>
    </row>
    <row r="33" spans="1:26" x14ac:dyDescent="0.3">
      <c r="A33" s="1" t="s">
        <v>49</v>
      </c>
      <c r="B33" s="3"/>
      <c r="C33" s="3"/>
      <c r="D33" s="3"/>
      <c r="E33" s="3"/>
      <c r="F33" s="3"/>
      <c r="G33" s="3"/>
      <c r="H33" s="3"/>
      <c r="I33" s="3"/>
      <c r="J33" s="3"/>
      <c r="K33" s="3"/>
      <c r="L33" s="3"/>
      <c r="M33" s="3"/>
      <c r="N33" s="3" t="e">
        <f t="shared" si="0"/>
        <v>#DIV/0!</v>
      </c>
      <c r="P33" s="51" t="s">
        <v>13</v>
      </c>
      <c r="Q33" s="24"/>
      <c r="R33" s="24"/>
      <c r="S33" s="20">
        <v>28</v>
      </c>
      <c r="T33" s="35">
        <v>1.44E-2</v>
      </c>
      <c r="U33" s="37">
        <v>1.6899999999999998E-2</v>
      </c>
      <c r="V33" s="23"/>
      <c r="X33" s="10" t="s">
        <v>416</v>
      </c>
      <c r="Y33" s="10">
        <v>55</v>
      </c>
      <c r="Z33" s="10" t="s">
        <v>415</v>
      </c>
    </row>
    <row r="34" spans="1:26" x14ac:dyDescent="0.3">
      <c r="A34" s="1" t="s">
        <v>50</v>
      </c>
      <c r="B34" s="3"/>
      <c r="C34" s="3"/>
      <c r="D34" s="3"/>
      <c r="E34" s="3"/>
      <c r="F34" s="3"/>
      <c r="G34" s="3"/>
      <c r="H34" s="3"/>
      <c r="I34" s="3"/>
      <c r="J34" s="3"/>
      <c r="K34" s="3"/>
      <c r="L34" s="3"/>
      <c r="M34" s="3"/>
      <c r="N34" s="3" t="e">
        <f t="shared" si="0"/>
        <v>#DIV/0!</v>
      </c>
      <c r="Q34" s="24"/>
      <c r="R34" s="24"/>
      <c r="S34" s="20">
        <v>29</v>
      </c>
      <c r="T34" s="35">
        <v>1.5299999999999999E-2</v>
      </c>
      <c r="U34" s="37">
        <v>1.7899999999999999E-2</v>
      </c>
      <c r="V34" s="23"/>
      <c r="Y34" s="10">
        <v>60</v>
      </c>
      <c r="Z34" s="10" t="s">
        <v>415</v>
      </c>
    </row>
    <row r="35" spans="1:26" x14ac:dyDescent="0.3">
      <c r="A35" s="1" t="s">
        <v>51</v>
      </c>
      <c r="B35" s="3"/>
      <c r="C35" s="3"/>
      <c r="D35" s="3"/>
      <c r="E35" s="3"/>
      <c r="F35" s="3"/>
      <c r="G35" s="3"/>
      <c r="H35" s="3"/>
      <c r="I35" s="3"/>
      <c r="J35" s="3"/>
      <c r="K35" s="3"/>
      <c r="L35" s="3"/>
      <c r="M35" s="3"/>
      <c r="N35" s="3" t="e">
        <f t="shared" si="0"/>
        <v>#DIV/0!</v>
      </c>
      <c r="P35" s="49" t="s">
        <v>15</v>
      </c>
      <c r="Q35" s="24"/>
      <c r="R35" s="24"/>
      <c r="S35" s="20">
        <v>30</v>
      </c>
      <c r="T35" s="35">
        <v>1.6299999999999999E-2</v>
      </c>
      <c r="U35" s="37">
        <v>1.9E-2</v>
      </c>
      <c r="V35" s="23"/>
      <c r="Y35" s="10">
        <v>65</v>
      </c>
      <c r="Z35" s="10" t="s">
        <v>415</v>
      </c>
    </row>
    <row r="36" spans="1:26" x14ac:dyDescent="0.3">
      <c r="A36" s="1" t="s">
        <v>52</v>
      </c>
      <c r="B36" s="3"/>
      <c r="C36" s="3"/>
      <c r="D36" s="3"/>
      <c r="E36" s="3"/>
      <c r="F36" s="3"/>
      <c r="G36" s="3"/>
      <c r="H36" s="3"/>
      <c r="I36" s="3"/>
      <c r="J36" s="3"/>
      <c r="K36" s="3"/>
      <c r="L36" s="3"/>
      <c r="M36" s="3"/>
      <c r="N36" s="3" t="e">
        <f t="shared" si="0"/>
        <v>#DIV/0!</v>
      </c>
      <c r="P36" s="52" t="s">
        <v>16</v>
      </c>
      <c r="Q36" s="24"/>
      <c r="R36" s="24"/>
      <c r="S36" s="20">
        <v>31</v>
      </c>
      <c r="T36" s="35">
        <v>1.72E-2</v>
      </c>
      <c r="U36" s="37">
        <v>2.0199999999999999E-2</v>
      </c>
      <c r="V36" s="23"/>
    </row>
    <row r="37" spans="1:26" x14ac:dyDescent="0.3">
      <c r="A37" s="1" t="s">
        <v>53</v>
      </c>
      <c r="B37" s="3">
        <v>-0.3</v>
      </c>
      <c r="C37" s="3">
        <v>0.7</v>
      </c>
      <c r="D37" s="3">
        <v>4.0999999999999996</v>
      </c>
      <c r="E37" s="3">
        <v>6.9</v>
      </c>
      <c r="F37" s="3">
        <v>12</v>
      </c>
      <c r="G37" s="3">
        <v>14.7</v>
      </c>
      <c r="H37" s="3">
        <v>16.899999999999999</v>
      </c>
      <c r="I37" s="3">
        <v>17.100000000000001</v>
      </c>
      <c r="J37" s="3">
        <v>12.8</v>
      </c>
      <c r="K37" s="3">
        <v>9</v>
      </c>
      <c r="L37" s="3">
        <v>3.5</v>
      </c>
      <c r="M37" s="3">
        <v>1.1000000000000001</v>
      </c>
      <c r="N37" s="3">
        <f t="shared" si="0"/>
        <v>8.2083333333333321</v>
      </c>
      <c r="P37" s="52" t="s">
        <v>17</v>
      </c>
      <c r="Q37" s="24"/>
      <c r="R37" s="24"/>
      <c r="S37" s="20">
        <v>32</v>
      </c>
      <c r="T37" s="35">
        <v>1.83E-2</v>
      </c>
      <c r="U37" s="37">
        <v>2.1399999999999999E-2</v>
      </c>
      <c r="V37" s="23"/>
    </row>
    <row r="38" spans="1:26" x14ac:dyDescent="0.3">
      <c r="A38" s="1" t="s">
        <v>54</v>
      </c>
      <c r="B38" s="3"/>
      <c r="C38" s="3"/>
      <c r="D38" s="3"/>
      <c r="E38" s="3"/>
      <c r="F38" s="3"/>
      <c r="G38" s="3"/>
      <c r="H38" s="3"/>
      <c r="I38" s="3"/>
      <c r="J38" s="3"/>
      <c r="K38" s="3"/>
      <c r="L38" s="3"/>
      <c r="M38" s="3"/>
      <c r="N38" s="3" t="e">
        <f t="shared" si="0"/>
        <v>#DIV/0!</v>
      </c>
      <c r="P38" s="52" t="s">
        <v>18</v>
      </c>
      <c r="Q38" s="24"/>
      <c r="R38" s="24"/>
      <c r="S38" s="20">
        <v>33</v>
      </c>
      <c r="T38" s="35">
        <v>1.9400000000000001E-2</v>
      </c>
      <c r="U38" s="37">
        <v>2.2700000000000001E-2</v>
      </c>
      <c r="V38" s="23"/>
    </row>
    <row r="39" spans="1:26" ht="12.75" customHeight="1" x14ac:dyDescent="0.3">
      <c r="A39" s="1" t="s">
        <v>62</v>
      </c>
      <c r="B39" s="3"/>
      <c r="C39" s="3"/>
      <c r="D39" s="3"/>
      <c r="E39" s="3"/>
      <c r="F39" s="3"/>
      <c r="G39" s="3"/>
      <c r="H39" s="3"/>
      <c r="I39" s="3"/>
      <c r="J39" s="3"/>
      <c r="K39" s="3"/>
      <c r="L39" s="3"/>
      <c r="M39" s="3"/>
      <c r="N39" s="3" t="e">
        <f t="shared" si="0"/>
        <v>#DIV/0!</v>
      </c>
      <c r="P39" s="52" t="s">
        <v>19</v>
      </c>
      <c r="S39" s="20">
        <v>34</v>
      </c>
      <c r="T39" s="35">
        <v>2.0500000000000001E-2</v>
      </c>
      <c r="U39" s="37">
        <v>2.41E-2</v>
      </c>
      <c r="V39" s="23"/>
    </row>
    <row r="40" spans="1:26" ht="12.75" customHeight="1" x14ac:dyDescent="0.3">
      <c r="A40" s="1" t="s">
        <v>55</v>
      </c>
      <c r="B40" s="3"/>
      <c r="C40" s="3"/>
      <c r="D40" s="3"/>
      <c r="E40" s="3"/>
      <c r="F40" s="3"/>
      <c r="G40" s="3"/>
      <c r="H40" s="3"/>
      <c r="I40" s="3"/>
      <c r="J40" s="3"/>
      <c r="K40" s="3"/>
      <c r="L40" s="3"/>
      <c r="M40" s="3"/>
      <c r="N40" s="3" t="e">
        <f t="shared" si="0"/>
        <v>#DIV/0!</v>
      </c>
      <c r="P40" s="52" t="s">
        <v>20</v>
      </c>
      <c r="S40" s="20">
        <v>35</v>
      </c>
      <c r="T40" s="35">
        <v>2.1700000000000001E-2</v>
      </c>
      <c r="U40" s="37">
        <v>2.5499999999999998E-2</v>
      </c>
      <c r="V40" s="23"/>
    </row>
    <row r="41" spans="1:26" ht="12" customHeight="1" x14ac:dyDescent="0.3">
      <c r="A41" s="1" t="s">
        <v>56</v>
      </c>
      <c r="B41" s="3"/>
      <c r="C41" s="3"/>
      <c r="D41" s="3"/>
      <c r="E41" s="3"/>
      <c r="F41" s="3"/>
      <c r="G41" s="3"/>
      <c r="H41" s="3"/>
      <c r="I41" s="3"/>
      <c r="J41" s="3"/>
      <c r="K41" s="3"/>
      <c r="L41" s="3"/>
      <c r="M41" s="3"/>
      <c r="N41" s="3" t="e">
        <f t="shared" si="0"/>
        <v>#DIV/0!</v>
      </c>
      <c r="P41" s="51" t="s">
        <v>21</v>
      </c>
      <c r="S41" s="20">
        <v>36</v>
      </c>
      <c r="T41" s="35">
        <v>2.3E-2</v>
      </c>
      <c r="U41" s="37">
        <v>2.7E-2</v>
      </c>
      <c r="V41" s="23"/>
    </row>
    <row r="42" spans="1:26" ht="12" customHeight="1" x14ac:dyDescent="0.3">
      <c r="A42" s="1" t="s">
        <v>58</v>
      </c>
      <c r="B42" s="3"/>
      <c r="C42" s="3"/>
      <c r="D42" s="3"/>
      <c r="E42" s="3"/>
      <c r="F42" s="3"/>
      <c r="G42" s="3"/>
      <c r="H42" s="3"/>
      <c r="I42" s="3"/>
      <c r="J42" s="3"/>
      <c r="K42" s="3"/>
      <c r="L42" s="3"/>
      <c r="M42" s="3"/>
      <c r="N42" s="3" t="e">
        <f t="shared" ref="N42:N45" si="19">AVERAGE(B42:M42)</f>
        <v>#DIV/0!</v>
      </c>
      <c r="P42" s="32"/>
      <c r="Q42" s="18" t="s">
        <v>354</v>
      </c>
      <c r="R42" s="18" t="s">
        <v>353</v>
      </c>
      <c r="S42" s="20">
        <v>37</v>
      </c>
      <c r="T42" s="35">
        <v>2.4299999999999999E-2</v>
      </c>
      <c r="U42" s="37">
        <v>2.86E-2</v>
      </c>
      <c r="V42" s="23"/>
    </row>
    <row r="43" spans="1:26" x14ac:dyDescent="0.3">
      <c r="A43" s="1" t="s">
        <v>59</v>
      </c>
      <c r="B43" s="3"/>
      <c r="C43" s="3"/>
      <c r="D43" s="3"/>
      <c r="E43" s="3"/>
      <c r="F43" s="3"/>
      <c r="G43" s="3"/>
      <c r="H43" s="3"/>
      <c r="I43" s="3"/>
      <c r="J43" s="3"/>
      <c r="K43" s="3"/>
      <c r="L43" s="3"/>
      <c r="M43" s="3"/>
      <c r="N43" s="3" t="e">
        <f t="shared" si="19"/>
        <v>#DIV/0!</v>
      </c>
      <c r="P43" s="20" t="s">
        <v>82</v>
      </c>
      <c r="Q43" s="16">
        <v>4.07</v>
      </c>
      <c r="R43" s="38">
        <v>1</v>
      </c>
      <c r="S43" s="20">
        <v>38</v>
      </c>
      <c r="T43" s="35">
        <v>2.58E-2</v>
      </c>
      <c r="U43" s="37">
        <v>3.0300000000000001E-2</v>
      </c>
      <c r="V43" s="23"/>
    </row>
    <row r="44" spans="1:26" x14ac:dyDescent="0.3">
      <c r="A44" s="1" t="s">
        <v>60</v>
      </c>
      <c r="B44" s="3">
        <v>0.2</v>
      </c>
      <c r="C44" s="3">
        <v>1.3</v>
      </c>
      <c r="D44" s="3">
        <v>5.4</v>
      </c>
      <c r="E44" s="3">
        <v>8.5</v>
      </c>
      <c r="F44" s="3">
        <v>13.6</v>
      </c>
      <c r="G44" s="3">
        <v>16.5</v>
      </c>
      <c r="H44" s="3">
        <v>18.7</v>
      </c>
      <c r="I44" s="3">
        <v>18.5</v>
      </c>
      <c r="J44" s="3">
        <v>14</v>
      </c>
      <c r="K44" s="3">
        <v>9.6999999999999993</v>
      </c>
      <c r="L44" s="3">
        <v>4.0999999999999996</v>
      </c>
      <c r="M44" s="3">
        <v>1.7</v>
      </c>
      <c r="N44" s="3">
        <f t="shared" si="19"/>
        <v>9.35</v>
      </c>
      <c r="P44" s="20" t="s">
        <v>83</v>
      </c>
      <c r="Q44" s="16">
        <v>6.98</v>
      </c>
      <c r="R44" s="38">
        <v>2</v>
      </c>
      <c r="S44" s="20">
        <v>39</v>
      </c>
      <c r="T44" s="35">
        <v>2.7199999999999998E-2</v>
      </c>
      <c r="U44" s="37">
        <v>3.2000000000000001E-2</v>
      </c>
      <c r="V44" s="23"/>
    </row>
    <row r="45" spans="1:26" x14ac:dyDescent="0.3">
      <c r="A45" s="2" t="s">
        <v>61</v>
      </c>
      <c r="B45" s="4">
        <v>0.4</v>
      </c>
      <c r="C45" s="4">
        <v>1.6</v>
      </c>
      <c r="D45" s="4">
        <v>5.5</v>
      </c>
      <c r="E45" s="4">
        <v>8.4</v>
      </c>
      <c r="F45" s="4">
        <v>13.4</v>
      </c>
      <c r="G45" s="4">
        <v>16.2</v>
      </c>
      <c r="H45" s="4">
        <v>18.399999999999999</v>
      </c>
      <c r="I45" s="4">
        <v>18.399999999999999</v>
      </c>
      <c r="J45" s="4">
        <v>14</v>
      </c>
      <c r="K45" s="4">
        <v>9.9</v>
      </c>
      <c r="L45" s="4">
        <v>4.2</v>
      </c>
      <c r="M45" s="4">
        <v>1.8</v>
      </c>
      <c r="N45" s="4">
        <f t="shared" si="19"/>
        <v>9.35</v>
      </c>
      <c r="P45" s="20" t="s">
        <v>84</v>
      </c>
      <c r="Q45" s="16">
        <v>12.79</v>
      </c>
      <c r="R45" s="38">
        <v>4</v>
      </c>
      <c r="S45" s="26">
        <v>40</v>
      </c>
      <c r="T45" s="53">
        <v>2.8799999999999999E-2</v>
      </c>
      <c r="U45" s="54">
        <v>3.39E-2</v>
      </c>
      <c r="V45" s="23"/>
    </row>
    <row r="46" spans="1:26" x14ac:dyDescent="0.3">
      <c r="A46" s="34" t="s">
        <v>76</v>
      </c>
      <c r="B46" s="55"/>
      <c r="C46" s="55"/>
      <c r="D46" s="55"/>
      <c r="E46" s="55"/>
      <c r="F46" s="55"/>
      <c r="G46" s="55"/>
      <c r="H46" s="55"/>
      <c r="I46" s="55"/>
      <c r="J46" s="55"/>
      <c r="K46" s="55"/>
      <c r="L46" s="55"/>
      <c r="M46" s="55"/>
      <c r="N46" s="55"/>
      <c r="P46" s="26" t="s">
        <v>10</v>
      </c>
      <c r="Q46" s="16">
        <v>4.07</v>
      </c>
      <c r="R46" s="31">
        <v>0.2</v>
      </c>
      <c r="V46" s="23"/>
    </row>
    <row r="47" spans="1:26" x14ac:dyDescent="0.3">
      <c r="Q47" s="32" t="s">
        <v>90</v>
      </c>
      <c r="R47" s="18"/>
      <c r="S47" s="18"/>
      <c r="T47" s="18"/>
      <c r="U47" s="19"/>
    </row>
    <row r="48" spans="1:26" ht="43.8" x14ac:dyDescent="0.35">
      <c r="A48" s="33" t="s">
        <v>289</v>
      </c>
      <c r="B48" s="34" t="s">
        <v>64</v>
      </c>
      <c r="C48" s="34" t="s">
        <v>65</v>
      </c>
      <c r="D48" s="34" t="s">
        <v>66</v>
      </c>
      <c r="E48" s="34" t="s">
        <v>67</v>
      </c>
      <c r="F48" s="34" t="s">
        <v>16</v>
      </c>
      <c r="G48" s="34" t="s">
        <v>68</v>
      </c>
      <c r="H48" s="34" t="s">
        <v>69</v>
      </c>
      <c r="I48" s="34" t="s">
        <v>70</v>
      </c>
      <c r="J48" s="34" t="s">
        <v>71</v>
      </c>
      <c r="K48" s="34" t="s">
        <v>72</v>
      </c>
      <c r="L48" s="34" t="s">
        <v>73</v>
      </c>
      <c r="M48" s="34" t="s">
        <v>74</v>
      </c>
      <c r="N48" s="34" t="s">
        <v>75</v>
      </c>
      <c r="Q48" s="20" t="s">
        <v>86</v>
      </c>
      <c r="R48" s="16" t="s">
        <v>88</v>
      </c>
      <c r="S48" s="16" t="s">
        <v>87</v>
      </c>
      <c r="T48" s="16" t="s">
        <v>89</v>
      </c>
      <c r="U48" s="14" t="s">
        <v>91</v>
      </c>
    </row>
    <row r="49" spans="1:21" x14ac:dyDescent="0.3">
      <c r="A49" s="1" t="s">
        <v>57</v>
      </c>
      <c r="B49" s="5">
        <v>3.15</v>
      </c>
      <c r="C49" s="5">
        <v>3.31</v>
      </c>
      <c r="D49" s="5">
        <v>4.0999999999999996</v>
      </c>
      <c r="E49" s="5">
        <v>4.88</v>
      </c>
      <c r="F49" s="5">
        <v>7.05</v>
      </c>
      <c r="G49" s="5">
        <v>8.64</v>
      </c>
      <c r="H49" s="5">
        <v>10</v>
      </c>
      <c r="I49" s="5">
        <v>10.199999999999999</v>
      </c>
      <c r="J49" s="5">
        <v>8.1999999999999993</v>
      </c>
      <c r="K49" s="5">
        <v>6.37</v>
      </c>
      <c r="L49" s="5">
        <v>4.42</v>
      </c>
      <c r="M49" s="5">
        <v>3.56</v>
      </c>
      <c r="N49" s="5">
        <f>AVERAGE(B49:M49)</f>
        <v>6.1566666666666672</v>
      </c>
      <c r="O49" s="24"/>
      <c r="Q49" s="20">
        <v>-10</v>
      </c>
      <c r="R49" s="22">
        <v>2.59</v>
      </c>
      <c r="S49" s="22">
        <v>1.62</v>
      </c>
      <c r="T49" s="22">
        <v>1.32</v>
      </c>
      <c r="U49" s="30">
        <f>S49/T49</f>
        <v>1.2272727272727273</v>
      </c>
    </row>
    <row r="50" spans="1:21" x14ac:dyDescent="0.3">
      <c r="A50" s="1" t="s">
        <v>32</v>
      </c>
      <c r="B50" s="5">
        <v>2.92</v>
      </c>
      <c r="C50" s="5">
        <v>3.08</v>
      </c>
      <c r="D50" s="5">
        <v>3.74</v>
      </c>
      <c r="E50" s="5">
        <v>4.4800000000000004</v>
      </c>
      <c r="F50" s="5">
        <v>6.47</v>
      </c>
      <c r="G50" s="5">
        <v>8</v>
      </c>
      <c r="H50" s="5">
        <v>9.35</v>
      </c>
      <c r="I50" s="5">
        <v>9.4</v>
      </c>
      <c r="J50" s="5">
        <v>7.58</v>
      </c>
      <c r="K50" s="5">
        <v>5.89</v>
      </c>
      <c r="L50" s="5">
        <v>4.04</v>
      </c>
      <c r="M50" s="5">
        <v>3.28</v>
      </c>
      <c r="N50" s="5">
        <f>AVERAGE(B50:M50)</f>
        <v>5.685833333333334</v>
      </c>
      <c r="P50" s="32" t="s">
        <v>305</v>
      </c>
      <c r="Q50" s="20">
        <v>-9</v>
      </c>
      <c r="R50" s="22">
        <v>2.83</v>
      </c>
      <c r="S50" s="22">
        <v>1.77</v>
      </c>
      <c r="T50" s="22">
        <v>1.32</v>
      </c>
      <c r="U50" s="30">
        <f t="shared" ref="U50:U99" si="20">S50/T50</f>
        <v>1.3409090909090908</v>
      </c>
    </row>
    <row r="51" spans="1:21" x14ac:dyDescent="0.3">
      <c r="A51" s="1" t="s">
        <v>23</v>
      </c>
      <c r="B51" s="5">
        <v>2.79</v>
      </c>
      <c r="C51" s="5">
        <v>2.89</v>
      </c>
      <c r="D51" s="5">
        <v>3.5</v>
      </c>
      <c r="E51" s="5">
        <v>4.28</v>
      </c>
      <c r="F51" s="5">
        <v>6.24</v>
      </c>
      <c r="G51" s="5">
        <v>7.64</v>
      </c>
      <c r="H51" s="5">
        <v>8.93</v>
      </c>
      <c r="I51" s="5">
        <v>8.98</v>
      </c>
      <c r="J51" s="5">
        <v>7.25</v>
      </c>
      <c r="K51" s="5">
        <v>5.6</v>
      </c>
      <c r="L51" s="5">
        <v>3.79</v>
      </c>
      <c r="M51" s="5">
        <v>3.14</v>
      </c>
      <c r="N51" s="5">
        <f>AVERAGE(B51:M51)</f>
        <v>5.4191666666666665</v>
      </c>
      <c r="P51" s="20" t="s">
        <v>307</v>
      </c>
      <c r="Q51" s="20">
        <v>-8</v>
      </c>
      <c r="R51" s="22">
        <v>3.09</v>
      </c>
      <c r="S51" s="22">
        <v>1.93</v>
      </c>
      <c r="T51" s="22">
        <v>1.31</v>
      </c>
      <c r="U51" s="30">
        <f t="shared" si="20"/>
        <v>1.4732824427480915</v>
      </c>
    </row>
    <row r="52" spans="1:21" x14ac:dyDescent="0.3">
      <c r="A52" s="1" t="s">
        <v>24</v>
      </c>
      <c r="B52" s="5">
        <v>3.57</v>
      </c>
      <c r="C52" s="5">
        <v>3.8</v>
      </c>
      <c r="D52" s="5">
        <v>4.57</v>
      </c>
      <c r="E52" s="5">
        <v>5.36</v>
      </c>
      <c r="F52" s="5">
        <v>7.7</v>
      </c>
      <c r="G52" s="5">
        <v>9.1199999999999992</v>
      </c>
      <c r="H52" s="5">
        <v>10.4</v>
      </c>
      <c r="I52" s="5">
        <v>10.6</v>
      </c>
      <c r="J52" s="5">
        <v>8.66</v>
      </c>
      <c r="K52" s="5">
        <v>6.9</v>
      </c>
      <c r="L52" s="5">
        <v>4.8600000000000003</v>
      </c>
      <c r="M52" s="5">
        <v>3.96</v>
      </c>
      <c r="N52" s="5">
        <f t="shared" ref="N52:N89" si="21">AVERAGE(B52:M52)</f>
        <v>6.625</v>
      </c>
      <c r="P52" s="26" t="s">
        <v>306</v>
      </c>
      <c r="Q52" s="20">
        <v>-7</v>
      </c>
      <c r="R52" s="22">
        <v>3.37</v>
      </c>
      <c r="S52" s="22">
        <v>2.11</v>
      </c>
      <c r="T52" s="22">
        <v>1.31</v>
      </c>
      <c r="U52" s="30">
        <f t="shared" si="20"/>
        <v>1.6106870229007633</v>
      </c>
    </row>
    <row r="53" spans="1:21" x14ac:dyDescent="0.3">
      <c r="A53" s="1" t="s">
        <v>25</v>
      </c>
      <c r="B53" s="5">
        <v>3.37</v>
      </c>
      <c r="C53" s="5">
        <v>3.49</v>
      </c>
      <c r="D53" s="5">
        <v>4.2</v>
      </c>
      <c r="E53" s="5">
        <v>4.9400000000000004</v>
      </c>
      <c r="F53" s="5">
        <v>7.01</v>
      </c>
      <c r="G53" s="5">
        <v>8.6999999999999993</v>
      </c>
      <c r="H53" s="5">
        <v>10.199999999999999</v>
      </c>
      <c r="I53" s="5">
        <v>10.3</v>
      </c>
      <c r="J53" s="5">
        <v>8.2799999999999994</v>
      </c>
      <c r="K53" s="5">
        <v>6.5</v>
      </c>
      <c r="L53" s="5">
        <v>4.58</v>
      </c>
      <c r="M53" s="5">
        <v>3.78</v>
      </c>
      <c r="N53" s="5">
        <f t="shared" si="21"/>
        <v>6.2791666666666659</v>
      </c>
      <c r="Q53" s="20">
        <v>-6</v>
      </c>
      <c r="R53" s="22">
        <v>3.68</v>
      </c>
      <c r="S53" s="22">
        <v>2.2999999999999998</v>
      </c>
      <c r="T53" s="22">
        <v>1.3</v>
      </c>
      <c r="U53" s="30">
        <f t="shared" si="20"/>
        <v>1.7692307692307689</v>
      </c>
    </row>
    <row r="54" spans="1:21" x14ac:dyDescent="0.3">
      <c r="A54" s="1" t="s">
        <v>26</v>
      </c>
      <c r="B54" s="5">
        <v>3.65</v>
      </c>
      <c r="C54" s="5">
        <v>3.77</v>
      </c>
      <c r="D54" s="5">
        <v>4.41</v>
      </c>
      <c r="E54" s="5">
        <v>5.2</v>
      </c>
      <c r="F54" s="5">
        <v>7.38</v>
      </c>
      <c r="G54" s="5">
        <v>8.7899999999999991</v>
      </c>
      <c r="H54" s="5">
        <v>9.99</v>
      </c>
      <c r="I54" s="5">
        <v>10.1</v>
      </c>
      <c r="J54" s="5">
        <v>8.39</v>
      </c>
      <c r="K54" s="5">
        <v>6.86</v>
      </c>
      <c r="L54" s="5">
        <v>4.8600000000000003</v>
      </c>
      <c r="M54" s="5">
        <v>4.0599999999999996</v>
      </c>
      <c r="N54" s="5">
        <f t="shared" si="21"/>
        <v>6.455000000000001</v>
      </c>
      <c r="P54" s="32" t="s">
        <v>309</v>
      </c>
      <c r="Q54" s="20">
        <v>-5</v>
      </c>
      <c r="R54" s="22">
        <v>4.01</v>
      </c>
      <c r="S54" s="22">
        <v>2.5099999999999998</v>
      </c>
      <c r="T54" s="22">
        <v>1.3</v>
      </c>
      <c r="U54" s="30">
        <f t="shared" si="20"/>
        <v>1.9307692307692306</v>
      </c>
    </row>
    <row r="55" spans="1:21" x14ac:dyDescent="0.3">
      <c r="A55" s="1" t="s">
        <v>27</v>
      </c>
      <c r="B55" s="5">
        <v>3.43</v>
      </c>
      <c r="C55" s="5">
        <v>3.57</v>
      </c>
      <c r="D55" s="5">
        <v>4.25</v>
      </c>
      <c r="E55" s="5">
        <v>5.04</v>
      </c>
      <c r="F55" s="5">
        <v>7.12</v>
      </c>
      <c r="G55" s="5">
        <v>8.49</v>
      </c>
      <c r="H55" s="5">
        <v>9.69</v>
      </c>
      <c r="I55" s="5">
        <v>9.86</v>
      </c>
      <c r="J55" s="5">
        <v>8.18</v>
      </c>
      <c r="K55" s="5">
        <v>6.67</v>
      </c>
      <c r="L55" s="5">
        <v>4.66</v>
      </c>
      <c r="M55" s="5">
        <v>3.83</v>
      </c>
      <c r="N55" s="5">
        <f t="shared" si="21"/>
        <v>6.232499999999999</v>
      </c>
      <c r="P55" s="26" t="s">
        <v>310</v>
      </c>
      <c r="Q55" s="20">
        <v>-4</v>
      </c>
      <c r="R55" s="22">
        <v>4.37</v>
      </c>
      <c r="S55" s="22">
        <v>2.73</v>
      </c>
      <c r="T55" s="22">
        <v>1.29</v>
      </c>
      <c r="U55" s="30">
        <f t="shared" si="20"/>
        <v>2.1162790697674416</v>
      </c>
    </row>
    <row r="56" spans="1:21" x14ac:dyDescent="0.3">
      <c r="A56" s="1" t="s">
        <v>28</v>
      </c>
      <c r="B56" s="5">
        <v>3.56</v>
      </c>
      <c r="C56" s="5">
        <v>3.68</v>
      </c>
      <c r="D56" s="5">
        <v>4.43</v>
      </c>
      <c r="E56" s="5">
        <v>5.21</v>
      </c>
      <c r="F56" s="5">
        <v>7.34</v>
      </c>
      <c r="G56" s="5">
        <v>8.8000000000000007</v>
      </c>
      <c r="H56" s="5">
        <v>9.99</v>
      </c>
      <c r="I56" s="5">
        <v>10.199999999999999</v>
      </c>
      <c r="J56" s="5">
        <v>8.32</v>
      </c>
      <c r="K56" s="5">
        <v>6.75</v>
      </c>
      <c r="L56" s="5">
        <v>4.7300000000000004</v>
      </c>
      <c r="M56" s="5">
        <v>3.96</v>
      </c>
      <c r="N56" s="5">
        <f t="shared" si="21"/>
        <v>6.4141666666666666</v>
      </c>
      <c r="Q56" s="20">
        <v>-3</v>
      </c>
      <c r="R56" s="22">
        <v>4.76</v>
      </c>
      <c r="S56" s="22">
        <v>2.97</v>
      </c>
      <c r="T56" s="22">
        <v>1.29</v>
      </c>
      <c r="U56" s="30">
        <f t="shared" si="20"/>
        <v>2.3023255813953489</v>
      </c>
    </row>
    <row r="57" spans="1:21" x14ac:dyDescent="0.3">
      <c r="A57" s="1" t="s">
        <v>29</v>
      </c>
      <c r="B57" s="5">
        <v>3.03</v>
      </c>
      <c r="C57" s="5">
        <v>3.17</v>
      </c>
      <c r="D57" s="5">
        <v>3.88</v>
      </c>
      <c r="E57" s="5">
        <v>4.5999999999999996</v>
      </c>
      <c r="F57" s="5">
        <v>6.61</v>
      </c>
      <c r="G57" s="5">
        <v>8.1199999999999992</v>
      </c>
      <c r="H57" s="5">
        <v>9.4700000000000006</v>
      </c>
      <c r="I57" s="5">
        <v>9.59</v>
      </c>
      <c r="J57" s="5">
        <v>7.73</v>
      </c>
      <c r="K57" s="5">
        <v>6.03</v>
      </c>
      <c r="L57" s="5">
        <v>4.22</v>
      </c>
      <c r="M57" s="5">
        <v>3.42</v>
      </c>
      <c r="N57" s="5">
        <f t="shared" si="21"/>
        <v>5.8225000000000007</v>
      </c>
      <c r="Q57" s="20">
        <v>-2</v>
      </c>
      <c r="R57" s="22">
        <v>5.17</v>
      </c>
      <c r="S57" s="22">
        <v>3.24</v>
      </c>
      <c r="T57" s="22">
        <v>1.28</v>
      </c>
      <c r="U57" s="30">
        <f t="shared" si="20"/>
        <v>2.53125</v>
      </c>
    </row>
    <row r="58" spans="1:21" x14ac:dyDescent="0.3">
      <c r="A58" s="1" t="s">
        <v>30</v>
      </c>
      <c r="B58" s="5">
        <v>2.5099999999999998</v>
      </c>
      <c r="C58" s="5">
        <v>2.5499999999999998</v>
      </c>
      <c r="D58" s="5">
        <v>3.07</v>
      </c>
      <c r="E58" s="5">
        <v>3.65</v>
      </c>
      <c r="F58" s="5">
        <v>5.26</v>
      </c>
      <c r="G58" s="5">
        <v>6.54</v>
      </c>
      <c r="H58" s="5">
        <v>7.69</v>
      </c>
      <c r="I58" s="5">
        <v>7.82</v>
      </c>
      <c r="J58" s="5">
        <v>6.21</v>
      </c>
      <c r="K58" s="5">
        <v>4.84</v>
      </c>
      <c r="L58" s="5">
        <v>3.45</v>
      </c>
      <c r="M58" s="5">
        <v>2.84</v>
      </c>
      <c r="N58" s="5">
        <f t="shared" si="21"/>
        <v>4.7025000000000006</v>
      </c>
      <c r="Q58" s="20">
        <v>-1</v>
      </c>
      <c r="R58" s="22">
        <v>5.62</v>
      </c>
      <c r="S58" s="22">
        <v>3.52</v>
      </c>
      <c r="T58" s="22">
        <v>1.28</v>
      </c>
      <c r="U58" s="30">
        <f t="shared" si="20"/>
        <v>2.75</v>
      </c>
    </row>
    <row r="59" spans="1:21" x14ac:dyDescent="0.3">
      <c r="A59" s="1" t="s">
        <v>31</v>
      </c>
      <c r="B59" s="5">
        <v>2.66</v>
      </c>
      <c r="C59" s="5">
        <v>2.75</v>
      </c>
      <c r="D59" s="5">
        <v>3.35</v>
      </c>
      <c r="E59" s="5">
        <v>4.05</v>
      </c>
      <c r="F59" s="5">
        <v>5.75</v>
      </c>
      <c r="G59" s="5">
        <v>7.11</v>
      </c>
      <c r="H59" s="5">
        <v>8.4</v>
      </c>
      <c r="I59" s="5">
        <v>8.51</v>
      </c>
      <c r="J59" s="5">
        <v>6.82</v>
      </c>
      <c r="K59" s="5">
        <v>5.35</v>
      </c>
      <c r="L59" s="5">
        <v>3.76</v>
      </c>
      <c r="M59" s="5">
        <v>3.02</v>
      </c>
      <c r="N59" s="5">
        <f t="shared" si="21"/>
        <v>5.1275000000000004</v>
      </c>
      <c r="Q59" s="20">
        <v>0</v>
      </c>
      <c r="R59" s="22">
        <v>6.11</v>
      </c>
      <c r="S59" s="22">
        <v>3.82</v>
      </c>
      <c r="T59" s="22">
        <v>1.27</v>
      </c>
      <c r="U59" s="30">
        <f t="shared" si="20"/>
        <v>3.0078740157480315</v>
      </c>
    </row>
    <row r="60" spans="1:21" x14ac:dyDescent="0.3">
      <c r="A60" s="1" t="s">
        <v>33</v>
      </c>
      <c r="B60" s="5"/>
      <c r="C60" s="5"/>
      <c r="D60" s="5"/>
      <c r="E60" s="5"/>
      <c r="F60" s="5"/>
      <c r="G60" s="5"/>
      <c r="H60" s="5"/>
      <c r="I60" s="5"/>
      <c r="J60" s="5"/>
      <c r="K60" s="5"/>
      <c r="L60" s="5"/>
      <c r="M60" s="5"/>
      <c r="N60" s="5" t="e">
        <f t="shared" si="21"/>
        <v>#DIV/0!</v>
      </c>
      <c r="Q60" s="20">
        <v>1</v>
      </c>
      <c r="R60" s="22">
        <v>6.57</v>
      </c>
      <c r="S60" s="22">
        <v>4.1100000000000003</v>
      </c>
      <c r="T60" s="22">
        <v>1.27</v>
      </c>
      <c r="U60" s="30">
        <f t="shared" si="20"/>
        <v>3.2362204724409449</v>
      </c>
    </row>
    <row r="61" spans="1:21" x14ac:dyDescent="0.3">
      <c r="A61" s="1" t="s">
        <v>34</v>
      </c>
      <c r="B61" s="5"/>
      <c r="C61" s="5"/>
      <c r="D61" s="5"/>
      <c r="E61" s="5"/>
      <c r="F61" s="5"/>
      <c r="G61" s="5"/>
      <c r="H61" s="5"/>
      <c r="I61" s="5"/>
      <c r="J61" s="5"/>
      <c r="K61" s="5"/>
      <c r="L61" s="5"/>
      <c r="M61" s="5"/>
      <c r="N61" s="5" t="e">
        <f t="shared" si="21"/>
        <v>#DIV/0!</v>
      </c>
      <c r="Q61" s="20">
        <v>2</v>
      </c>
      <c r="R61" s="22">
        <v>7.05</v>
      </c>
      <c r="S61" s="22">
        <v>4.42</v>
      </c>
      <c r="T61" s="22">
        <v>1.26</v>
      </c>
      <c r="U61" s="30">
        <f t="shared" si="20"/>
        <v>3.5079365079365079</v>
      </c>
    </row>
    <row r="62" spans="1:21" x14ac:dyDescent="0.3">
      <c r="A62" s="1" t="s">
        <v>35</v>
      </c>
      <c r="B62" s="5"/>
      <c r="C62" s="5"/>
      <c r="D62" s="5"/>
      <c r="E62" s="5"/>
      <c r="F62" s="5"/>
      <c r="G62" s="5"/>
      <c r="H62" s="5"/>
      <c r="I62" s="5"/>
      <c r="J62" s="5"/>
      <c r="K62" s="5"/>
      <c r="L62" s="5"/>
      <c r="M62" s="5"/>
      <c r="N62" s="5" t="e">
        <f t="shared" si="21"/>
        <v>#DIV/0!</v>
      </c>
      <c r="Q62" s="20">
        <v>3</v>
      </c>
      <c r="R62" s="22">
        <v>7.58</v>
      </c>
      <c r="S62" s="22">
        <v>4.75</v>
      </c>
      <c r="T62" s="22">
        <v>1.26</v>
      </c>
      <c r="U62" s="30">
        <f t="shared" si="20"/>
        <v>3.7698412698412698</v>
      </c>
    </row>
    <row r="63" spans="1:21" x14ac:dyDescent="0.3">
      <c r="A63" s="1" t="s">
        <v>36</v>
      </c>
      <c r="B63" s="5"/>
      <c r="C63" s="5"/>
      <c r="D63" s="5"/>
      <c r="E63" s="5"/>
      <c r="F63" s="5"/>
      <c r="G63" s="5"/>
      <c r="H63" s="5"/>
      <c r="I63" s="5"/>
      <c r="J63" s="5"/>
      <c r="K63" s="5"/>
      <c r="L63" s="5"/>
      <c r="M63" s="5"/>
      <c r="N63" s="5" t="e">
        <f t="shared" si="21"/>
        <v>#DIV/0!</v>
      </c>
      <c r="Q63" s="20">
        <v>4</v>
      </c>
      <c r="R63" s="22">
        <v>8.1300000000000008</v>
      </c>
      <c r="S63" s="22">
        <v>5.0999999999999996</v>
      </c>
      <c r="T63" s="22">
        <v>1.25</v>
      </c>
      <c r="U63" s="30">
        <f t="shared" si="20"/>
        <v>4.08</v>
      </c>
    </row>
    <row r="64" spans="1:21" x14ac:dyDescent="0.3">
      <c r="A64" s="1" t="s">
        <v>37</v>
      </c>
      <c r="B64" s="5"/>
      <c r="C64" s="5"/>
      <c r="D64" s="5"/>
      <c r="E64" s="5"/>
      <c r="F64" s="5"/>
      <c r="G64" s="5"/>
      <c r="H64" s="5"/>
      <c r="I64" s="5"/>
      <c r="J64" s="5"/>
      <c r="K64" s="5"/>
      <c r="L64" s="5"/>
      <c r="M64" s="5"/>
      <c r="N64" s="5" t="e">
        <f t="shared" si="21"/>
        <v>#DIV/0!</v>
      </c>
      <c r="Q64" s="20">
        <v>5</v>
      </c>
      <c r="R64" s="22">
        <v>8.7200000000000006</v>
      </c>
      <c r="S64" s="22">
        <v>5.47</v>
      </c>
      <c r="T64" s="22">
        <v>1.25</v>
      </c>
      <c r="U64" s="30">
        <f t="shared" si="20"/>
        <v>4.3759999999999994</v>
      </c>
    </row>
    <row r="65" spans="1:21" x14ac:dyDescent="0.3">
      <c r="A65" s="1" t="s">
        <v>38</v>
      </c>
      <c r="B65" s="5"/>
      <c r="C65" s="5"/>
      <c r="D65" s="5"/>
      <c r="E65" s="5"/>
      <c r="F65" s="5"/>
      <c r="G65" s="5"/>
      <c r="H65" s="5"/>
      <c r="I65" s="5"/>
      <c r="J65" s="5"/>
      <c r="K65" s="5"/>
      <c r="L65" s="5"/>
      <c r="M65" s="5"/>
      <c r="N65" s="5" t="e">
        <f t="shared" si="21"/>
        <v>#DIV/0!</v>
      </c>
      <c r="Q65" s="20">
        <v>6</v>
      </c>
      <c r="R65" s="22">
        <v>9.35</v>
      </c>
      <c r="S65" s="22">
        <v>5.87</v>
      </c>
      <c r="T65" s="22">
        <v>1.24</v>
      </c>
      <c r="U65" s="30">
        <f t="shared" si="20"/>
        <v>4.7338709677419359</v>
      </c>
    </row>
    <row r="66" spans="1:21" x14ac:dyDescent="0.3">
      <c r="A66" s="1" t="s">
        <v>39</v>
      </c>
      <c r="B66" s="5"/>
      <c r="C66" s="5"/>
      <c r="D66" s="5"/>
      <c r="E66" s="5"/>
      <c r="F66" s="5"/>
      <c r="G66" s="5"/>
      <c r="H66" s="5"/>
      <c r="I66" s="5"/>
      <c r="J66" s="5"/>
      <c r="K66" s="5"/>
      <c r="L66" s="5"/>
      <c r="M66" s="5"/>
      <c r="N66" s="5" t="e">
        <f t="shared" si="21"/>
        <v>#DIV/0!</v>
      </c>
      <c r="Q66" s="20">
        <v>7</v>
      </c>
      <c r="R66" s="22">
        <v>10.01</v>
      </c>
      <c r="S66" s="22">
        <v>6.29</v>
      </c>
      <c r="T66" s="22">
        <v>1.24</v>
      </c>
      <c r="U66" s="30">
        <f t="shared" si="20"/>
        <v>5.07258064516129</v>
      </c>
    </row>
    <row r="67" spans="1:21" x14ac:dyDescent="0.3">
      <c r="A67" s="1" t="s">
        <v>40</v>
      </c>
      <c r="B67" s="5"/>
      <c r="C67" s="5"/>
      <c r="D67" s="5"/>
      <c r="E67" s="5"/>
      <c r="F67" s="5"/>
      <c r="G67" s="5"/>
      <c r="H67" s="5"/>
      <c r="I67" s="5"/>
      <c r="J67" s="5"/>
      <c r="K67" s="5"/>
      <c r="L67" s="5"/>
      <c r="M67" s="5"/>
      <c r="N67" s="5" t="e">
        <f t="shared" si="21"/>
        <v>#DIV/0!</v>
      </c>
      <c r="Q67" s="20">
        <v>8</v>
      </c>
      <c r="R67" s="22">
        <v>10.72</v>
      </c>
      <c r="S67" s="22">
        <v>6.74</v>
      </c>
      <c r="T67" s="22">
        <v>1.23</v>
      </c>
      <c r="U67" s="30">
        <f t="shared" si="20"/>
        <v>5.4796747967479673</v>
      </c>
    </row>
    <row r="68" spans="1:21" x14ac:dyDescent="0.3">
      <c r="A68" s="1" t="s">
        <v>41</v>
      </c>
      <c r="B68" s="5"/>
      <c r="C68" s="5"/>
      <c r="D68" s="5"/>
      <c r="E68" s="5"/>
      <c r="F68" s="5"/>
      <c r="G68" s="5"/>
      <c r="H68" s="5"/>
      <c r="I68" s="5"/>
      <c r="J68" s="5"/>
      <c r="K68" s="5"/>
      <c r="L68" s="5"/>
      <c r="M68" s="5"/>
      <c r="N68" s="5" t="e">
        <f t="shared" si="21"/>
        <v>#DIV/0!</v>
      </c>
      <c r="Q68" s="20">
        <v>9</v>
      </c>
      <c r="R68" s="22">
        <v>11.47</v>
      </c>
      <c r="S68" s="22">
        <v>7.22</v>
      </c>
      <c r="T68" s="22">
        <v>1.23</v>
      </c>
      <c r="U68" s="30">
        <f t="shared" si="20"/>
        <v>5.8699186991869921</v>
      </c>
    </row>
    <row r="69" spans="1:21" x14ac:dyDescent="0.3">
      <c r="A69" s="1" t="s">
        <v>42</v>
      </c>
      <c r="B69" s="5"/>
      <c r="C69" s="5"/>
      <c r="D69" s="5"/>
      <c r="E69" s="5"/>
      <c r="F69" s="5"/>
      <c r="G69" s="5"/>
      <c r="H69" s="5"/>
      <c r="I69" s="5"/>
      <c r="J69" s="5"/>
      <c r="K69" s="5"/>
      <c r="L69" s="5"/>
      <c r="M69" s="5"/>
      <c r="N69" s="5" t="e">
        <f t="shared" si="21"/>
        <v>#DIV/0!</v>
      </c>
      <c r="Q69" s="20">
        <v>10</v>
      </c>
      <c r="R69" s="22">
        <v>12.27</v>
      </c>
      <c r="S69" s="22">
        <v>7.73</v>
      </c>
      <c r="T69" s="22">
        <v>1.22</v>
      </c>
      <c r="U69" s="30">
        <f t="shared" si="20"/>
        <v>6.3360655737704921</v>
      </c>
    </row>
    <row r="70" spans="1:21" x14ac:dyDescent="0.3">
      <c r="A70" s="1" t="s">
        <v>43</v>
      </c>
      <c r="B70" s="5"/>
      <c r="C70" s="5"/>
      <c r="D70" s="5"/>
      <c r="E70" s="5"/>
      <c r="F70" s="5"/>
      <c r="G70" s="5"/>
      <c r="H70" s="5"/>
      <c r="I70" s="5"/>
      <c r="J70" s="5"/>
      <c r="K70" s="5"/>
      <c r="L70" s="5"/>
      <c r="M70" s="5"/>
      <c r="N70" s="5" t="e">
        <f t="shared" si="21"/>
        <v>#DIV/0!</v>
      </c>
      <c r="Q70" s="20">
        <v>11</v>
      </c>
      <c r="R70" s="22">
        <v>13.12</v>
      </c>
      <c r="S70" s="22">
        <v>8.27</v>
      </c>
      <c r="T70" s="22">
        <v>1.22</v>
      </c>
      <c r="U70" s="30">
        <f t="shared" si="20"/>
        <v>6.778688524590164</v>
      </c>
    </row>
    <row r="71" spans="1:21" x14ac:dyDescent="0.3">
      <c r="A71" s="1" t="s">
        <v>44</v>
      </c>
      <c r="B71" s="5"/>
      <c r="C71" s="5"/>
      <c r="D71" s="5"/>
      <c r="E71" s="5"/>
      <c r="F71" s="5"/>
      <c r="G71" s="5"/>
      <c r="H71" s="5"/>
      <c r="I71" s="5"/>
      <c r="J71" s="5"/>
      <c r="K71" s="5"/>
      <c r="L71" s="5"/>
      <c r="M71" s="5"/>
      <c r="N71" s="5" t="e">
        <f t="shared" si="21"/>
        <v>#DIV/0!</v>
      </c>
      <c r="Q71" s="20">
        <v>12</v>
      </c>
      <c r="R71" s="22">
        <v>14.01</v>
      </c>
      <c r="S71" s="22">
        <v>8.84</v>
      </c>
      <c r="T71" s="22">
        <v>1.22</v>
      </c>
      <c r="U71" s="30">
        <f t="shared" si="20"/>
        <v>7.2459016393442619</v>
      </c>
    </row>
    <row r="72" spans="1:21" x14ac:dyDescent="0.3">
      <c r="A72" s="1" t="s">
        <v>45</v>
      </c>
      <c r="B72" s="5"/>
      <c r="C72" s="5"/>
      <c r="D72" s="5"/>
      <c r="E72" s="5"/>
      <c r="F72" s="5"/>
      <c r="G72" s="5"/>
      <c r="H72" s="5"/>
      <c r="I72" s="5"/>
      <c r="J72" s="5"/>
      <c r="K72" s="5"/>
      <c r="L72" s="5"/>
      <c r="M72" s="5"/>
      <c r="N72" s="5" t="e">
        <f t="shared" si="21"/>
        <v>#DIV/0!</v>
      </c>
      <c r="Q72" s="20">
        <v>13</v>
      </c>
      <c r="R72" s="22">
        <v>14.96</v>
      </c>
      <c r="S72" s="22">
        <v>9.4499999999999993</v>
      </c>
      <c r="T72" s="22">
        <v>1.21</v>
      </c>
      <c r="U72" s="30">
        <f t="shared" si="20"/>
        <v>7.8099173553719003</v>
      </c>
    </row>
    <row r="73" spans="1:21" x14ac:dyDescent="0.3">
      <c r="A73" s="1" t="s">
        <v>46</v>
      </c>
      <c r="B73" s="5"/>
      <c r="C73" s="5"/>
      <c r="D73" s="5"/>
      <c r="E73" s="5"/>
      <c r="F73" s="5"/>
      <c r="G73" s="5"/>
      <c r="H73" s="5"/>
      <c r="I73" s="5"/>
      <c r="J73" s="5"/>
      <c r="K73" s="5"/>
      <c r="L73" s="5"/>
      <c r="M73" s="5"/>
      <c r="N73" s="5" t="e">
        <f t="shared" si="21"/>
        <v>#DIV/0!</v>
      </c>
      <c r="Q73" s="20">
        <v>14</v>
      </c>
      <c r="R73" s="22">
        <v>15.97</v>
      </c>
      <c r="S73" s="22">
        <v>10.1</v>
      </c>
      <c r="T73" s="22">
        <v>1.21</v>
      </c>
      <c r="U73" s="30">
        <f t="shared" si="20"/>
        <v>8.3471074380165291</v>
      </c>
    </row>
    <row r="74" spans="1:21" x14ac:dyDescent="0.3">
      <c r="A74" s="1" t="s">
        <v>47</v>
      </c>
      <c r="B74" s="5"/>
      <c r="C74" s="5"/>
      <c r="D74" s="5"/>
      <c r="E74" s="5"/>
      <c r="F74" s="5"/>
      <c r="G74" s="5"/>
      <c r="H74" s="5"/>
      <c r="I74" s="5"/>
      <c r="J74" s="5"/>
      <c r="K74" s="5"/>
      <c r="L74" s="5"/>
      <c r="M74" s="5"/>
      <c r="N74" s="5" t="e">
        <f t="shared" si="21"/>
        <v>#DIV/0!</v>
      </c>
      <c r="Q74" s="20">
        <v>15</v>
      </c>
      <c r="R74" s="22">
        <v>17.04</v>
      </c>
      <c r="S74" s="22">
        <v>10.79</v>
      </c>
      <c r="T74" s="22">
        <v>1.2</v>
      </c>
      <c r="U74" s="30">
        <f t="shared" si="20"/>
        <v>8.9916666666666671</v>
      </c>
    </row>
    <row r="75" spans="1:21" x14ac:dyDescent="0.3">
      <c r="A75" s="1" t="s">
        <v>48</v>
      </c>
      <c r="B75" s="5"/>
      <c r="C75" s="5"/>
      <c r="D75" s="5"/>
      <c r="E75" s="5"/>
      <c r="F75" s="5"/>
      <c r="G75" s="5"/>
      <c r="H75" s="5"/>
      <c r="I75" s="5"/>
      <c r="J75" s="5"/>
      <c r="K75" s="5"/>
      <c r="L75" s="5"/>
      <c r="M75" s="5"/>
      <c r="N75" s="5" t="e">
        <f t="shared" si="21"/>
        <v>#DIV/0!</v>
      </c>
      <c r="Q75" s="20">
        <v>16</v>
      </c>
      <c r="R75" s="22">
        <v>18.170000000000002</v>
      </c>
      <c r="S75" s="22">
        <v>11.51</v>
      </c>
      <c r="T75" s="22">
        <v>1.2</v>
      </c>
      <c r="U75" s="30">
        <f t="shared" si="20"/>
        <v>9.5916666666666668</v>
      </c>
    </row>
    <row r="76" spans="1:21" x14ac:dyDescent="0.3">
      <c r="A76" s="1" t="s">
        <v>49</v>
      </c>
      <c r="B76" s="5"/>
      <c r="C76" s="5"/>
      <c r="D76" s="5"/>
      <c r="E76" s="5"/>
      <c r="F76" s="5"/>
      <c r="G76" s="5"/>
      <c r="H76" s="5"/>
      <c r="I76" s="5"/>
      <c r="J76" s="5"/>
      <c r="K76" s="5"/>
      <c r="L76" s="5"/>
      <c r="M76" s="5"/>
      <c r="N76" s="5" t="e">
        <f t="shared" si="21"/>
        <v>#DIV/0!</v>
      </c>
      <c r="Q76" s="20">
        <v>17</v>
      </c>
      <c r="R76" s="22">
        <v>19.36</v>
      </c>
      <c r="S76" s="22">
        <v>12.29</v>
      </c>
      <c r="T76" s="22">
        <v>1.19</v>
      </c>
      <c r="U76" s="30">
        <f t="shared" si="20"/>
        <v>10.327731092436975</v>
      </c>
    </row>
    <row r="77" spans="1:21" x14ac:dyDescent="0.3">
      <c r="A77" s="1" t="s">
        <v>50</v>
      </c>
      <c r="B77" s="5"/>
      <c r="C77" s="5"/>
      <c r="D77" s="5"/>
      <c r="E77" s="5"/>
      <c r="F77" s="5"/>
      <c r="G77" s="5"/>
      <c r="H77" s="5"/>
      <c r="I77" s="5"/>
      <c r="J77" s="5"/>
      <c r="K77" s="5"/>
      <c r="L77" s="5"/>
      <c r="M77" s="5"/>
      <c r="N77" s="5" t="e">
        <f t="shared" si="21"/>
        <v>#DIV/0!</v>
      </c>
      <c r="Q77" s="20">
        <v>18</v>
      </c>
      <c r="R77" s="22">
        <v>20.62</v>
      </c>
      <c r="S77" s="22">
        <v>13.1</v>
      </c>
      <c r="T77" s="22">
        <v>1.19</v>
      </c>
      <c r="U77" s="30">
        <f t="shared" si="20"/>
        <v>11.008403361344538</v>
      </c>
    </row>
    <row r="78" spans="1:21" x14ac:dyDescent="0.3">
      <c r="A78" s="1" t="s">
        <v>51</v>
      </c>
      <c r="B78" s="5"/>
      <c r="C78" s="5"/>
      <c r="D78" s="5"/>
      <c r="E78" s="5"/>
      <c r="F78" s="5"/>
      <c r="G78" s="5"/>
      <c r="H78" s="5"/>
      <c r="I78" s="5"/>
      <c r="J78" s="5"/>
      <c r="K78" s="5"/>
      <c r="L78" s="5"/>
      <c r="M78" s="5"/>
      <c r="N78" s="5" t="e">
        <f t="shared" si="21"/>
        <v>#DIV/0!</v>
      </c>
      <c r="Q78" s="20">
        <v>19</v>
      </c>
      <c r="R78" s="22">
        <v>21.96</v>
      </c>
      <c r="S78" s="22">
        <v>13.97</v>
      </c>
      <c r="T78" s="22">
        <v>1.18</v>
      </c>
      <c r="U78" s="30">
        <f t="shared" si="20"/>
        <v>11.838983050847459</v>
      </c>
    </row>
    <row r="79" spans="1:21" x14ac:dyDescent="0.3">
      <c r="A79" s="1" t="s">
        <v>52</v>
      </c>
      <c r="B79" s="5"/>
      <c r="C79" s="5"/>
      <c r="D79" s="5"/>
      <c r="E79" s="5"/>
      <c r="F79" s="5"/>
      <c r="G79" s="5"/>
      <c r="H79" s="5"/>
      <c r="I79" s="5"/>
      <c r="J79" s="5"/>
      <c r="K79" s="5"/>
      <c r="L79" s="5"/>
      <c r="M79" s="5"/>
      <c r="N79" s="5" t="e">
        <f t="shared" si="21"/>
        <v>#DIV/0!</v>
      </c>
      <c r="Q79" s="20">
        <v>20</v>
      </c>
      <c r="R79" s="22">
        <v>23.37</v>
      </c>
      <c r="S79" s="22">
        <v>14.89</v>
      </c>
      <c r="T79" s="22">
        <v>1.18</v>
      </c>
      <c r="U79" s="30">
        <f t="shared" si="20"/>
        <v>12.618644067796611</v>
      </c>
    </row>
    <row r="80" spans="1:21" x14ac:dyDescent="0.3">
      <c r="A80" s="1" t="s">
        <v>53</v>
      </c>
      <c r="B80" s="5">
        <v>3.28</v>
      </c>
      <c r="C80" s="5">
        <v>3.35</v>
      </c>
      <c r="D80" s="5">
        <v>4.0199999999999996</v>
      </c>
      <c r="E80" s="5">
        <v>4.75</v>
      </c>
      <c r="F80" s="5">
        <v>6.78</v>
      </c>
      <c r="G80" s="5">
        <v>8.2100000000000009</v>
      </c>
      <c r="H80" s="5">
        <v>9.4600000000000009</v>
      </c>
      <c r="I80" s="5">
        <v>9.65</v>
      </c>
      <c r="J80" s="5">
        <v>7.93</v>
      </c>
      <c r="K80" s="5">
        <v>6.34</v>
      </c>
      <c r="L80" s="5">
        <v>4.4400000000000004</v>
      </c>
      <c r="M80" s="5">
        <v>3.66</v>
      </c>
      <c r="N80" s="5">
        <f t="shared" si="21"/>
        <v>5.9891666666666659</v>
      </c>
      <c r="Q80" s="20">
        <v>21</v>
      </c>
      <c r="R80" s="22">
        <v>24.85</v>
      </c>
      <c r="S80" s="22">
        <v>15.86</v>
      </c>
      <c r="T80" s="22">
        <v>1.17</v>
      </c>
      <c r="U80" s="30">
        <f t="shared" si="20"/>
        <v>13.555555555555555</v>
      </c>
    </row>
    <row r="81" spans="1:21" x14ac:dyDescent="0.3">
      <c r="A81" s="1" t="s">
        <v>54</v>
      </c>
      <c r="B81" s="5"/>
      <c r="C81" s="5"/>
      <c r="D81" s="5"/>
      <c r="E81" s="5"/>
      <c r="F81" s="5"/>
      <c r="G81" s="5"/>
      <c r="H81" s="5"/>
      <c r="I81" s="5"/>
      <c r="J81" s="5"/>
      <c r="K81" s="5"/>
      <c r="L81" s="5"/>
      <c r="M81" s="5"/>
      <c r="N81" s="5" t="e">
        <f t="shared" si="21"/>
        <v>#DIV/0!</v>
      </c>
      <c r="Q81" s="20">
        <v>22</v>
      </c>
      <c r="R81" s="22">
        <v>26.42</v>
      </c>
      <c r="S81" s="22">
        <v>16.89</v>
      </c>
      <c r="T81" s="22">
        <v>1.17</v>
      </c>
      <c r="U81" s="30">
        <f t="shared" si="20"/>
        <v>14.435897435897438</v>
      </c>
    </row>
    <row r="82" spans="1:21" x14ac:dyDescent="0.3">
      <c r="A82" s="1" t="s">
        <v>62</v>
      </c>
      <c r="B82" s="5"/>
      <c r="C82" s="5"/>
      <c r="D82" s="5"/>
      <c r="E82" s="5"/>
      <c r="F82" s="5"/>
      <c r="G82" s="5"/>
      <c r="H82" s="5"/>
      <c r="I82" s="5"/>
      <c r="J82" s="5"/>
      <c r="K82" s="5"/>
      <c r="L82" s="5"/>
      <c r="M82" s="5"/>
      <c r="N82" s="5" t="e">
        <f t="shared" si="21"/>
        <v>#DIV/0!</v>
      </c>
      <c r="Q82" s="20">
        <v>23</v>
      </c>
      <c r="R82" s="22">
        <v>28.08</v>
      </c>
      <c r="S82" s="22">
        <v>17.98</v>
      </c>
      <c r="T82" s="22">
        <v>1.1599999999999999</v>
      </c>
      <c r="U82" s="30">
        <f t="shared" si="20"/>
        <v>15.500000000000002</v>
      </c>
    </row>
    <row r="83" spans="1:21" x14ac:dyDescent="0.3">
      <c r="A83" s="1" t="s">
        <v>55</v>
      </c>
      <c r="B83" s="5"/>
      <c r="C83" s="5"/>
      <c r="D83" s="5"/>
      <c r="E83" s="5"/>
      <c r="F83" s="5"/>
      <c r="G83" s="5"/>
      <c r="H83" s="5"/>
      <c r="I83" s="5"/>
      <c r="J83" s="5"/>
      <c r="K83" s="5"/>
      <c r="L83" s="5"/>
      <c r="M83" s="5"/>
      <c r="N83" s="5" t="e">
        <f t="shared" si="21"/>
        <v>#DIV/0!</v>
      </c>
      <c r="Q83" s="20">
        <v>24</v>
      </c>
      <c r="R83" s="22">
        <v>29.82</v>
      </c>
      <c r="S83" s="22">
        <v>19.13</v>
      </c>
      <c r="T83" s="22">
        <v>1.1599999999999999</v>
      </c>
      <c r="U83" s="30">
        <f t="shared" si="20"/>
        <v>16.491379310344829</v>
      </c>
    </row>
    <row r="84" spans="1:21" x14ac:dyDescent="0.3">
      <c r="A84" s="1" t="s">
        <v>56</v>
      </c>
      <c r="B84" s="5"/>
      <c r="C84" s="5"/>
      <c r="D84" s="5"/>
      <c r="E84" s="5"/>
      <c r="F84" s="5"/>
      <c r="G84" s="5"/>
      <c r="H84" s="5"/>
      <c r="I84" s="5"/>
      <c r="J84" s="5"/>
      <c r="K84" s="5"/>
      <c r="L84" s="5"/>
      <c r="M84" s="5"/>
      <c r="N84" s="5" t="e">
        <f t="shared" si="21"/>
        <v>#DIV/0!</v>
      </c>
      <c r="Q84" s="20">
        <v>25</v>
      </c>
      <c r="R84" s="22">
        <v>31.66</v>
      </c>
      <c r="S84" s="22">
        <v>20.350000000000001</v>
      </c>
      <c r="T84" s="22">
        <v>1.1499999999999999</v>
      </c>
      <c r="U84" s="30">
        <f t="shared" si="20"/>
        <v>17.695652173913047</v>
      </c>
    </row>
    <row r="85" spans="1:21" x14ac:dyDescent="0.3">
      <c r="A85" s="1" t="s">
        <v>58</v>
      </c>
      <c r="B85" s="5"/>
      <c r="C85" s="5"/>
      <c r="D85" s="5"/>
      <c r="E85" s="5"/>
      <c r="F85" s="5"/>
      <c r="G85" s="5"/>
      <c r="H85" s="5"/>
      <c r="I85" s="5"/>
      <c r="J85" s="5"/>
      <c r="K85" s="5"/>
      <c r="L85" s="5"/>
      <c r="M85" s="5"/>
      <c r="N85" s="5" t="e">
        <f t="shared" si="21"/>
        <v>#DIV/0!</v>
      </c>
      <c r="Q85" s="20">
        <v>26</v>
      </c>
      <c r="R85" s="22">
        <v>33.6</v>
      </c>
      <c r="S85" s="22">
        <v>21.63</v>
      </c>
      <c r="T85" s="22">
        <v>1.1499999999999999</v>
      </c>
      <c r="U85" s="30">
        <f t="shared" si="20"/>
        <v>18.808695652173913</v>
      </c>
    </row>
    <row r="86" spans="1:21" x14ac:dyDescent="0.3">
      <c r="A86" s="1" t="s">
        <v>59</v>
      </c>
      <c r="B86" s="5"/>
      <c r="C86" s="5"/>
      <c r="D86" s="5"/>
      <c r="E86" s="5"/>
      <c r="F86" s="5"/>
      <c r="G86" s="5"/>
      <c r="H86" s="5"/>
      <c r="I86" s="5"/>
      <c r="J86" s="5"/>
      <c r="K86" s="5"/>
      <c r="L86" s="5"/>
      <c r="M86" s="5"/>
      <c r="N86" s="5" t="e">
        <f t="shared" si="21"/>
        <v>#DIV/0!</v>
      </c>
      <c r="Q86" s="20">
        <v>27</v>
      </c>
      <c r="R86" s="22">
        <v>35.64</v>
      </c>
      <c r="S86" s="22">
        <v>23</v>
      </c>
      <c r="T86" s="22">
        <v>1.1399999999999999</v>
      </c>
      <c r="U86" s="30">
        <f t="shared" si="20"/>
        <v>20.17543859649123</v>
      </c>
    </row>
    <row r="87" spans="1:21" x14ac:dyDescent="0.3">
      <c r="A87" s="1" t="s">
        <v>60</v>
      </c>
      <c r="B87" s="5">
        <v>3.5</v>
      </c>
      <c r="C87" s="5">
        <v>3.61</v>
      </c>
      <c r="D87" s="5">
        <v>4.32</v>
      </c>
      <c r="E87" s="5">
        <v>5.09</v>
      </c>
      <c r="F87" s="5">
        <v>7.22</v>
      </c>
      <c r="G87" s="5">
        <v>8.66</v>
      </c>
      <c r="H87" s="5">
        <v>9.84</v>
      </c>
      <c r="I87" s="5">
        <v>10</v>
      </c>
      <c r="J87" s="5">
        <v>8.24</v>
      </c>
      <c r="K87" s="5">
        <v>6.68</v>
      </c>
      <c r="L87" s="5">
        <v>4.71</v>
      </c>
      <c r="M87" s="5">
        <v>3.92</v>
      </c>
      <c r="N87" s="5">
        <f t="shared" si="21"/>
        <v>6.315833333333333</v>
      </c>
      <c r="Q87" s="20">
        <v>28</v>
      </c>
      <c r="R87" s="22">
        <v>27.79</v>
      </c>
      <c r="S87" s="22">
        <v>24.43</v>
      </c>
      <c r="T87" s="22">
        <v>1.1399999999999999</v>
      </c>
      <c r="U87" s="30">
        <f t="shared" si="20"/>
        <v>21.42982456140351</v>
      </c>
    </row>
    <row r="88" spans="1:21" x14ac:dyDescent="0.3">
      <c r="A88" s="2" t="s">
        <v>61</v>
      </c>
      <c r="B88" s="6">
        <v>3.54</v>
      </c>
      <c r="C88" s="6">
        <v>3.61</v>
      </c>
      <c r="D88" s="6">
        <v>4.26</v>
      </c>
      <c r="E88" s="6">
        <v>4.9800000000000004</v>
      </c>
      <c r="F88" s="6">
        <v>7.11</v>
      </c>
      <c r="G88" s="6">
        <v>8.5500000000000007</v>
      </c>
      <c r="H88" s="6">
        <v>9.85</v>
      </c>
      <c r="I88" s="6">
        <v>10.1</v>
      </c>
      <c r="J88" s="6">
        <v>8.3699999999999992</v>
      </c>
      <c r="K88" s="6">
        <v>6.78</v>
      </c>
      <c r="L88" s="6">
        <v>4.74</v>
      </c>
      <c r="M88" s="6">
        <v>3.94</v>
      </c>
      <c r="N88" s="6">
        <f t="shared" si="21"/>
        <v>6.319166666666665</v>
      </c>
      <c r="Q88" s="20">
        <v>29</v>
      </c>
      <c r="R88" s="22">
        <v>40.049999999999997</v>
      </c>
      <c r="S88" s="22">
        <v>25.96</v>
      </c>
      <c r="T88" s="22">
        <v>1.1399999999999999</v>
      </c>
      <c r="U88" s="30">
        <f t="shared" si="20"/>
        <v>22.771929824561408</v>
      </c>
    </row>
    <row r="89" spans="1:21" x14ac:dyDescent="0.3">
      <c r="A89" s="34" t="s">
        <v>76</v>
      </c>
      <c r="B89" s="56"/>
      <c r="C89" s="56"/>
      <c r="D89" s="56"/>
      <c r="E89" s="56"/>
      <c r="F89" s="56"/>
      <c r="G89" s="56"/>
      <c r="H89" s="56"/>
      <c r="I89" s="56"/>
      <c r="J89" s="56"/>
      <c r="K89" s="56"/>
      <c r="L89" s="56"/>
      <c r="M89" s="56"/>
      <c r="N89" s="56" t="e">
        <f t="shared" si="21"/>
        <v>#DIV/0!</v>
      </c>
      <c r="Q89" s="20">
        <v>30</v>
      </c>
      <c r="R89" s="22">
        <v>42.42</v>
      </c>
      <c r="S89" s="22">
        <v>27.56</v>
      </c>
      <c r="T89" s="22">
        <v>1.1299999999999999</v>
      </c>
      <c r="U89" s="30">
        <f t="shared" si="20"/>
        <v>24.389380530973451</v>
      </c>
    </row>
    <row r="90" spans="1:21" x14ac:dyDescent="0.3">
      <c r="Q90" s="20">
        <v>31</v>
      </c>
      <c r="R90" s="22">
        <v>44.92</v>
      </c>
      <c r="S90" s="22">
        <v>29.26</v>
      </c>
      <c r="T90" s="22">
        <v>1.1299999999999999</v>
      </c>
      <c r="U90" s="30">
        <f t="shared" si="20"/>
        <v>25.893805309734518</v>
      </c>
    </row>
    <row r="91" spans="1:21" ht="43.2" x14ac:dyDescent="0.3">
      <c r="A91" s="33" t="s">
        <v>328</v>
      </c>
      <c r="B91" s="34" t="s">
        <v>64</v>
      </c>
      <c r="C91" s="34" t="s">
        <v>65</v>
      </c>
      <c r="D91" s="34" t="s">
        <v>66</v>
      </c>
      <c r="E91" s="34" t="s">
        <v>67</v>
      </c>
      <c r="F91" s="34" t="s">
        <v>16</v>
      </c>
      <c r="G91" s="34" t="s">
        <v>68</v>
      </c>
      <c r="H91" s="34" t="s">
        <v>69</v>
      </c>
      <c r="I91" s="34" t="s">
        <v>70</v>
      </c>
      <c r="J91" s="34" t="s">
        <v>71</v>
      </c>
      <c r="K91" s="34" t="s">
        <v>72</v>
      </c>
      <c r="L91" s="34" t="s">
        <v>73</v>
      </c>
      <c r="M91" s="34" t="s">
        <v>74</v>
      </c>
      <c r="N91" s="34" t="s">
        <v>75</v>
      </c>
      <c r="Q91" s="20">
        <v>32</v>
      </c>
      <c r="R91" s="22">
        <v>47.54</v>
      </c>
      <c r="S91" s="22">
        <v>31.06</v>
      </c>
      <c r="T91" s="22">
        <v>1.1200000000000001</v>
      </c>
      <c r="U91" s="30">
        <f t="shared" si="20"/>
        <v>27.732142857142854</v>
      </c>
    </row>
    <row r="92" spans="1:21" x14ac:dyDescent="0.3">
      <c r="A92" s="1" t="s">
        <v>32</v>
      </c>
      <c r="B92" s="8">
        <v>121</v>
      </c>
      <c r="C92" s="8">
        <v>203</v>
      </c>
      <c r="D92" s="8">
        <v>354</v>
      </c>
      <c r="E92" s="8">
        <v>435</v>
      </c>
      <c r="F92" s="8">
        <v>538</v>
      </c>
      <c r="G92" s="8">
        <v>537</v>
      </c>
      <c r="H92" s="8">
        <v>536</v>
      </c>
      <c r="I92" s="8">
        <v>471</v>
      </c>
      <c r="J92" s="8">
        <v>345</v>
      </c>
      <c r="K92" s="8">
        <v>241</v>
      </c>
      <c r="L92" s="8">
        <v>132</v>
      </c>
      <c r="M92" s="8">
        <v>86</v>
      </c>
      <c r="N92" s="7">
        <f>SUM(B92:M92)</f>
        <v>3999</v>
      </c>
      <c r="Q92" s="20">
        <v>33</v>
      </c>
      <c r="R92" s="22">
        <v>50.3</v>
      </c>
      <c r="S92" s="22">
        <v>32.950000000000003</v>
      </c>
      <c r="T92" s="22">
        <v>1.1200000000000001</v>
      </c>
      <c r="U92" s="30">
        <f t="shared" si="20"/>
        <v>29.419642857142858</v>
      </c>
    </row>
    <row r="93" spans="1:21" x14ac:dyDescent="0.3">
      <c r="A93" s="1" t="s">
        <v>57</v>
      </c>
      <c r="B93" s="8">
        <v>126</v>
      </c>
      <c r="C93" s="8">
        <v>189</v>
      </c>
      <c r="D93" s="8">
        <v>327</v>
      </c>
      <c r="E93" s="8">
        <v>428</v>
      </c>
      <c r="F93" s="8">
        <v>549</v>
      </c>
      <c r="G93" s="8">
        <v>552</v>
      </c>
      <c r="H93" s="8">
        <v>568</v>
      </c>
      <c r="I93" s="8">
        <v>498</v>
      </c>
      <c r="J93" s="8">
        <v>353</v>
      </c>
      <c r="K93" s="8">
        <v>238</v>
      </c>
      <c r="L93" s="8">
        <v>127</v>
      </c>
      <c r="M93" s="8">
        <v>94</v>
      </c>
      <c r="N93" s="7">
        <f>SUM(B93:M93)</f>
        <v>4049</v>
      </c>
      <c r="Q93" s="20">
        <v>34</v>
      </c>
      <c r="R93" s="22">
        <v>53.19</v>
      </c>
      <c r="S93" s="22">
        <v>34.950000000000003</v>
      </c>
      <c r="T93" s="22">
        <v>1.1100000000000001</v>
      </c>
      <c r="U93" s="30">
        <f t="shared" si="20"/>
        <v>31.486486486486488</v>
      </c>
    </row>
    <row r="94" spans="1:21" x14ac:dyDescent="0.3">
      <c r="A94" s="1" t="s">
        <v>23</v>
      </c>
      <c r="B94" s="7">
        <v>150</v>
      </c>
      <c r="C94" s="7">
        <v>213</v>
      </c>
      <c r="D94" s="7">
        <v>364</v>
      </c>
      <c r="E94" s="7">
        <v>443</v>
      </c>
      <c r="F94" s="7">
        <v>530</v>
      </c>
      <c r="G94" s="7">
        <v>537</v>
      </c>
      <c r="H94" s="7">
        <v>560</v>
      </c>
      <c r="I94" s="7">
        <v>493</v>
      </c>
      <c r="J94" s="7">
        <v>371</v>
      </c>
      <c r="K94" s="7">
        <v>254</v>
      </c>
      <c r="L94" s="7">
        <v>150</v>
      </c>
      <c r="M94" s="7">
        <v>121</v>
      </c>
      <c r="N94" s="7">
        <f>SUM(B94:M94)</f>
        <v>4186</v>
      </c>
      <c r="Q94" s="20">
        <v>35</v>
      </c>
      <c r="R94" s="22">
        <v>56.22</v>
      </c>
      <c r="S94" s="22">
        <v>37.07</v>
      </c>
      <c r="T94" s="22">
        <v>1.1100000000000001</v>
      </c>
      <c r="U94" s="30">
        <f t="shared" si="20"/>
        <v>33.396396396396391</v>
      </c>
    </row>
    <row r="95" spans="1:21" x14ac:dyDescent="0.3">
      <c r="A95" s="1" t="s">
        <v>24</v>
      </c>
      <c r="B95" s="7">
        <v>139</v>
      </c>
      <c r="C95" s="7">
        <v>201</v>
      </c>
      <c r="D95" s="7">
        <v>362</v>
      </c>
      <c r="E95" s="7">
        <v>456</v>
      </c>
      <c r="F95" s="7">
        <v>570</v>
      </c>
      <c r="G95" s="7">
        <v>599</v>
      </c>
      <c r="H95" s="7">
        <v>632</v>
      </c>
      <c r="I95" s="7">
        <v>549</v>
      </c>
      <c r="J95" s="7">
        <v>394</v>
      </c>
      <c r="K95" s="7">
        <v>262</v>
      </c>
      <c r="L95" s="7">
        <v>145</v>
      </c>
      <c r="M95" s="7">
        <v>112</v>
      </c>
      <c r="N95" s="7">
        <f t="shared" ref="N95:N132" si="22">SUM(B95:M95)</f>
        <v>4421</v>
      </c>
      <c r="Q95" s="20">
        <v>36</v>
      </c>
      <c r="R95" s="22">
        <v>59.41</v>
      </c>
      <c r="S95" s="22">
        <v>39.299999999999997</v>
      </c>
      <c r="T95" s="22">
        <v>1.1000000000000001</v>
      </c>
      <c r="U95" s="30">
        <f t="shared" si="20"/>
        <v>35.72727272727272</v>
      </c>
    </row>
    <row r="96" spans="1:21" x14ac:dyDescent="0.3">
      <c r="A96" s="1" t="s">
        <v>25</v>
      </c>
      <c r="B96" s="7">
        <v>104</v>
      </c>
      <c r="C96" s="7">
        <v>174</v>
      </c>
      <c r="D96" s="7">
        <v>324</v>
      </c>
      <c r="E96" s="7">
        <v>435</v>
      </c>
      <c r="F96" s="7">
        <v>549</v>
      </c>
      <c r="G96" s="7">
        <v>547</v>
      </c>
      <c r="H96" s="7">
        <v>554</v>
      </c>
      <c r="I96" s="7">
        <v>485</v>
      </c>
      <c r="J96" s="7">
        <v>345</v>
      </c>
      <c r="K96" s="7">
        <v>225</v>
      </c>
      <c r="L96" s="7">
        <v>117</v>
      </c>
      <c r="M96" s="7">
        <v>80</v>
      </c>
      <c r="N96" s="7">
        <f t="shared" si="22"/>
        <v>3939</v>
      </c>
      <c r="Q96" s="20">
        <v>37</v>
      </c>
      <c r="R96" s="22">
        <v>62.75</v>
      </c>
      <c r="S96" s="22">
        <v>41.65</v>
      </c>
      <c r="T96" s="22">
        <v>1.1000000000000001</v>
      </c>
      <c r="U96" s="30">
        <f t="shared" si="20"/>
        <v>37.86363636363636</v>
      </c>
    </row>
    <row r="97" spans="1:21" x14ac:dyDescent="0.3">
      <c r="A97" s="1" t="s">
        <v>26</v>
      </c>
      <c r="B97" s="7">
        <v>110</v>
      </c>
      <c r="C97" s="7">
        <v>167</v>
      </c>
      <c r="D97" s="7">
        <v>305</v>
      </c>
      <c r="E97" s="7">
        <v>410</v>
      </c>
      <c r="F97" s="7">
        <v>528</v>
      </c>
      <c r="G97" s="7">
        <v>583</v>
      </c>
      <c r="H97" s="7">
        <v>605</v>
      </c>
      <c r="I97" s="7">
        <v>530</v>
      </c>
      <c r="J97" s="7">
        <v>358</v>
      </c>
      <c r="K97" s="7">
        <v>225</v>
      </c>
      <c r="L97" s="7">
        <v>119</v>
      </c>
      <c r="M97" s="7">
        <v>86</v>
      </c>
      <c r="N97" s="7">
        <f t="shared" si="22"/>
        <v>4026</v>
      </c>
      <c r="Q97" s="20">
        <v>38</v>
      </c>
      <c r="R97" s="22">
        <v>66.25</v>
      </c>
      <c r="S97" s="22">
        <v>44.14</v>
      </c>
      <c r="T97" s="22">
        <v>1.0900000000000001</v>
      </c>
      <c r="U97" s="30">
        <f t="shared" si="20"/>
        <v>40.495412844036693</v>
      </c>
    </row>
    <row r="98" spans="1:21" x14ac:dyDescent="0.3">
      <c r="A98" s="1" t="s">
        <v>27</v>
      </c>
      <c r="B98" s="7">
        <v>118</v>
      </c>
      <c r="C98" s="7">
        <v>181</v>
      </c>
      <c r="D98" s="7">
        <v>335</v>
      </c>
      <c r="E98" s="7">
        <v>420</v>
      </c>
      <c r="F98" s="7">
        <v>546</v>
      </c>
      <c r="G98" s="7">
        <v>594</v>
      </c>
      <c r="H98" s="7">
        <v>624</v>
      </c>
      <c r="I98" s="7">
        <v>544</v>
      </c>
      <c r="J98" s="7">
        <v>373</v>
      </c>
      <c r="K98" s="7">
        <v>230</v>
      </c>
      <c r="L98" s="7">
        <v>122</v>
      </c>
      <c r="M98" s="7">
        <v>91</v>
      </c>
      <c r="N98" s="7">
        <f t="shared" si="22"/>
        <v>4178</v>
      </c>
      <c r="Q98" s="20">
        <v>39</v>
      </c>
      <c r="R98" s="22">
        <v>69.91</v>
      </c>
      <c r="S98" s="22">
        <v>46.77</v>
      </c>
      <c r="T98" s="22">
        <v>1.0900000000000001</v>
      </c>
      <c r="U98" s="30">
        <f t="shared" si="20"/>
        <v>42.908256880733944</v>
      </c>
    </row>
    <row r="99" spans="1:21" x14ac:dyDescent="0.3">
      <c r="A99" s="1" t="s">
        <v>28</v>
      </c>
      <c r="B99" s="7">
        <v>86</v>
      </c>
      <c r="C99" s="7">
        <v>148</v>
      </c>
      <c r="D99" s="7">
        <v>284</v>
      </c>
      <c r="E99" s="7">
        <v>391</v>
      </c>
      <c r="F99" s="7">
        <v>522</v>
      </c>
      <c r="G99" s="7">
        <v>560</v>
      </c>
      <c r="H99" s="7">
        <v>581</v>
      </c>
      <c r="I99" s="7">
        <v>501</v>
      </c>
      <c r="J99" s="7">
        <v>334</v>
      </c>
      <c r="K99" s="7">
        <v>187</v>
      </c>
      <c r="L99" s="7">
        <v>91</v>
      </c>
      <c r="M99" s="7">
        <v>67</v>
      </c>
      <c r="N99" s="7">
        <f t="shared" si="22"/>
        <v>3752</v>
      </c>
      <c r="Q99" s="26">
        <v>40</v>
      </c>
      <c r="R99" s="57">
        <v>73.760000000000005</v>
      </c>
      <c r="S99" s="57">
        <v>49.55</v>
      </c>
      <c r="T99" s="57">
        <v>1.08</v>
      </c>
      <c r="U99" s="58">
        <f t="shared" si="20"/>
        <v>45.879629629629626</v>
      </c>
    </row>
    <row r="100" spans="1:21" x14ac:dyDescent="0.3">
      <c r="A100" s="1" t="s">
        <v>29</v>
      </c>
      <c r="B100" s="8">
        <v>142</v>
      </c>
      <c r="C100" s="8">
        <v>208</v>
      </c>
      <c r="D100" s="8">
        <v>359</v>
      </c>
      <c r="E100" s="8">
        <v>459</v>
      </c>
      <c r="F100" s="8">
        <v>570</v>
      </c>
      <c r="G100" s="8">
        <v>578</v>
      </c>
      <c r="H100" s="8">
        <v>597</v>
      </c>
      <c r="I100" s="8">
        <v>520</v>
      </c>
      <c r="J100" s="8">
        <v>373</v>
      </c>
      <c r="K100" s="8">
        <v>257</v>
      </c>
      <c r="L100" s="8">
        <v>148</v>
      </c>
      <c r="M100" s="8">
        <v>112</v>
      </c>
      <c r="N100" s="7">
        <f t="shared" si="22"/>
        <v>4323</v>
      </c>
    </row>
    <row r="101" spans="1:21" x14ac:dyDescent="0.3">
      <c r="A101" s="1" t="s">
        <v>30</v>
      </c>
      <c r="B101" s="8">
        <v>182</v>
      </c>
      <c r="C101" s="8">
        <v>256</v>
      </c>
      <c r="D101" s="8">
        <v>429</v>
      </c>
      <c r="E101" s="8">
        <v>524</v>
      </c>
      <c r="F101" s="8">
        <v>603</v>
      </c>
      <c r="G101" s="8">
        <v>604</v>
      </c>
      <c r="H101" s="8">
        <v>619</v>
      </c>
      <c r="I101" s="8">
        <v>544</v>
      </c>
      <c r="J101" s="8">
        <v>407</v>
      </c>
      <c r="K101" s="8">
        <v>297</v>
      </c>
      <c r="L101" s="8">
        <v>184</v>
      </c>
      <c r="M101" s="8">
        <v>145</v>
      </c>
      <c r="N101" s="7">
        <f t="shared" si="22"/>
        <v>4794</v>
      </c>
    </row>
    <row r="102" spans="1:21" x14ac:dyDescent="0.3">
      <c r="A102" s="1" t="s">
        <v>31</v>
      </c>
      <c r="B102" s="8">
        <v>161</v>
      </c>
      <c r="C102" s="8">
        <v>235</v>
      </c>
      <c r="D102" s="8">
        <v>404</v>
      </c>
      <c r="E102" s="8">
        <v>469</v>
      </c>
      <c r="F102" s="8">
        <v>552</v>
      </c>
      <c r="G102" s="8">
        <v>588</v>
      </c>
      <c r="H102" s="8">
        <v>611</v>
      </c>
      <c r="I102" s="8">
        <v>533</v>
      </c>
      <c r="J102" s="8">
        <v>391</v>
      </c>
      <c r="K102" s="8">
        <v>265</v>
      </c>
      <c r="L102" s="8">
        <v>158</v>
      </c>
      <c r="M102" s="8">
        <v>129</v>
      </c>
      <c r="N102" s="7">
        <f t="shared" si="22"/>
        <v>4496</v>
      </c>
      <c r="P102" s="17" t="s">
        <v>372</v>
      </c>
      <c r="Q102" s="18" t="s">
        <v>366</v>
      </c>
      <c r="R102" s="18" t="s">
        <v>371</v>
      </c>
      <c r="S102" s="18" t="s">
        <v>374</v>
      </c>
      <c r="T102" s="19"/>
    </row>
    <row r="103" spans="1:21" x14ac:dyDescent="0.3">
      <c r="A103" s="1" t="s">
        <v>33</v>
      </c>
      <c r="B103" s="7"/>
      <c r="C103" s="7"/>
      <c r="D103" s="7"/>
      <c r="E103" s="7"/>
      <c r="F103" s="7"/>
      <c r="G103" s="7"/>
      <c r="H103" s="7"/>
      <c r="I103" s="7"/>
      <c r="J103" s="7"/>
      <c r="K103" s="7"/>
      <c r="L103" s="7"/>
      <c r="M103" s="7"/>
      <c r="N103" s="7">
        <f t="shared" si="22"/>
        <v>0</v>
      </c>
      <c r="P103" s="20" t="s">
        <v>355</v>
      </c>
      <c r="Q103" s="22">
        <v>0.85</v>
      </c>
      <c r="R103" s="22">
        <v>0.85</v>
      </c>
      <c r="S103" s="38">
        <v>1</v>
      </c>
      <c r="T103" s="14"/>
      <c r="U103" s="10">
        <v>1</v>
      </c>
    </row>
    <row r="104" spans="1:21" x14ac:dyDescent="0.3">
      <c r="A104" s="1" t="s">
        <v>34</v>
      </c>
      <c r="B104" s="7"/>
      <c r="C104" s="7"/>
      <c r="D104" s="7"/>
      <c r="E104" s="7"/>
      <c r="F104" s="7"/>
      <c r="G104" s="7"/>
      <c r="H104" s="7"/>
      <c r="I104" s="7"/>
      <c r="J104" s="7"/>
      <c r="K104" s="7"/>
      <c r="L104" s="7"/>
      <c r="M104" s="7"/>
      <c r="N104" s="7">
        <f t="shared" si="22"/>
        <v>0</v>
      </c>
      <c r="P104" s="20" t="s">
        <v>356</v>
      </c>
      <c r="Q104" s="22">
        <v>0.91</v>
      </c>
      <c r="R104" s="22">
        <v>0.88</v>
      </c>
      <c r="S104" s="38">
        <v>1</v>
      </c>
      <c r="T104" s="14"/>
      <c r="U104" s="10">
        <v>2</v>
      </c>
    </row>
    <row r="105" spans="1:21" x14ac:dyDescent="0.3">
      <c r="A105" s="1" t="s">
        <v>35</v>
      </c>
      <c r="B105" s="7"/>
      <c r="C105" s="7"/>
      <c r="D105" s="7"/>
      <c r="E105" s="7"/>
      <c r="F105" s="7"/>
      <c r="G105" s="7"/>
      <c r="H105" s="7"/>
      <c r="I105" s="7"/>
      <c r="J105" s="7"/>
      <c r="K105" s="7"/>
      <c r="L105" s="7"/>
      <c r="M105" s="7"/>
      <c r="N105" s="7">
        <f t="shared" si="22"/>
        <v>0</v>
      </c>
      <c r="P105" s="20" t="s">
        <v>357</v>
      </c>
      <c r="Q105" s="22">
        <v>0.85</v>
      </c>
      <c r="R105" s="22">
        <v>0.85</v>
      </c>
      <c r="S105" s="38">
        <v>1</v>
      </c>
      <c r="T105" s="14"/>
      <c r="U105" s="10">
        <v>3</v>
      </c>
    </row>
    <row r="106" spans="1:21" x14ac:dyDescent="0.3">
      <c r="A106" s="1" t="s">
        <v>36</v>
      </c>
      <c r="B106" s="7"/>
      <c r="C106" s="7"/>
      <c r="D106" s="7"/>
      <c r="E106" s="7"/>
      <c r="F106" s="7"/>
      <c r="G106" s="7"/>
      <c r="H106" s="7"/>
      <c r="I106" s="7"/>
      <c r="J106" s="7"/>
      <c r="K106" s="7"/>
      <c r="L106" s="7"/>
      <c r="M106" s="7"/>
      <c r="N106" s="7">
        <f t="shared" si="22"/>
        <v>0</v>
      </c>
      <c r="P106" s="20" t="s">
        <v>358</v>
      </c>
      <c r="Q106" s="22">
        <v>0.95</v>
      </c>
      <c r="R106" s="22">
        <v>0.92</v>
      </c>
      <c r="S106" s="38">
        <v>1</v>
      </c>
      <c r="T106" s="14"/>
      <c r="U106" s="10">
        <v>4</v>
      </c>
    </row>
    <row r="107" spans="1:21" x14ac:dyDescent="0.3">
      <c r="A107" s="1" t="s">
        <v>37</v>
      </c>
      <c r="B107" s="7"/>
      <c r="C107" s="7"/>
      <c r="D107" s="7"/>
      <c r="E107" s="7"/>
      <c r="F107" s="7"/>
      <c r="G107" s="7"/>
      <c r="H107" s="7"/>
      <c r="I107" s="7"/>
      <c r="J107" s="7"/>
      <c r="K107" s="7"/>
      <c r="L107" s="7"/>
      <c r="M107" s="7"/>
      <c r="N107" s="7">
        <f t="shared" si="22"/>
        <v>0</v>
      </c>
      <c r="P107" s="20" t="s">
        <v>359</v>
      </c>
      <c r="Q107" s="22">
        <v>0.75</v>
      </c>
      <c r="R107" s="22">
        <v>0.75</v>
      </c>
      <c r="S107" s="38">
        <v>0.7</v>
      </c>
      <c r="T107" s="14"/>
      <c r="U107" s="10">
        <v>5</v>
      </c>
    </row>
    <row r="108" spans="1:21" x14ac:dyDescent="0.3">
      <c r="A108" s="1" t="s">
        <v>38</v>
      </c>
      <c r="B108" s="7"/>
      <c r="C108" s="7"/>
      <c r="D108" s="7"/>
      <c r="E108" s="7"/>
      <c r="F108" s="7"/>
      <c r="G108" s="7"/>
      <c r="H108" s="7"/>
      <c r="I108" s="7"/>
      <c r="J108" s="7"/>
      <c r="K108" s="7"/>
      <c r="L108" s="7"/>
      <c r="M108" s="7"/>
      <c r="N108" s="7">
        <f t="shared" si="22"/>
        <v>0</v>
      </c>
      <c r="P108" s="20" t="s">
        <v>360</v>
      </c>
      <c r="Q108" s="22">
        <v>0.85</v>
      </c>
      <c r="R108" s="22">
        <v>0.85</v>
      </c>
      <c r="S108" s="38">
        <v>0.7</v>
      </c>
      <c r="T108" s="14"/>
      <c r="U108" s="10">
        <v>6</v>
      </c>
    </row>
    <row r="109" spans="1:21" x14ac:dyDescent="0.3">
      <c r="A109" s="1" t="s">
        <v>39</v>
      </c>
      <c r="B109" s="7"/>
      <c r="C109" s="7"/>
      <c r="D109" s="7"/>
      <c r="E109" s="7"/>
      <c r="F109" s="7"/>
      <c r="G109" s="7"/>
      <c r="H109" s="7"/>
      <c r="I109" s="7"/>
      <c r="J109" s="7"/>
      <c r="K109" s="7"/>
      <c r="L109" s="7"/>
      <c r="M109" s="7"/>
      <c r="N109" s="7">
        <f t="shared" si="22"/>
        <v>0</v>
      </c>
      <c r="P109" s="20" t="s">
        <v>361</v>
      </c>
      <c r="Q109" s="22">
        <v>1</v>
      </c>
      <c r="R109" s="22">
        <v>1</v>
      </c>
      <c r="S109" s="38">
        <v>0.6</v>
      </c>
      <c r="T109" s="14"/>
      <c r="U109" s="10">
        <v>7</v>
      </c>
    </row>
    <row r="110" spans="1:21" x14ac:dyDescent="0.3">
      <c r="A110" s="1" t="s">
        <v>40</v>
      </c>
      <c r="B110" s="7"/>
      <c r="C110" s="7"/>
      <c r="D110" s="7"/>
      <c r="E110" s="7"/>
      <c r="F110" s="7"/>
      <c r="G110" s="7"/>
      <c r="H110" s="7"/>
      <c r="I110" s="7"/>
      <c r="J110" s="7"/>
      <c r="K110" s="7"/>
      <c r="L110" s="7"/>
      <c r="M110" s="7"/>
      <c r="N110" s="7">
        <f t="shared" si="22"/>
        <v>0</v>
      </c>
      <c r="P110" s="20" t="s">
        <v>362</v>
      </c>
      <c r="Q110" s="22">
        <v>1</v>
      </c>
      <c r="R110" s="22">
        <v>0.9</v>
      </c>
      <c r="S110" s="38">
        <v>2</v>
      </c>
      <c r="T110" s="14" t="s">
        <v>373</v>
      </c>
      <c r="U110" s="10">
        <v>8</v>
      </c>
    </row>
    <row r="111" spans="1:21" x14ac:dyDescent="0.3">
      <c r="A111" s="1" t="s">
        <v>41</v>
      </c>
      <c r="B111" s="7"/>
      <c r="C111" s="7"/>
      <c r="D111" s="7"/>
      <c r="E111" s="7"/>
      <c r="F111" s="7"/>
      <c r="G111" s="7"/>
      <c r="H111" s="7"/>
      <c r="I111" s="7"/>
      <c r="J111" s="7"/>
      <c r="K111" s="7"/>
      <c r="L111" s="7"/>
      <c r="M111" s="7"/>
      <c r="N111" s="7">
        <f t="shared" si="22"/>
        <v>0</v>
      </c>
      <c r="P111" s="20" t="s">
        <v>376</v>
      </c>
      <c r="Q111" s="22">
        <v>0.85</v>
      </c>
      <c r="R111" s="22">
        <v>0.85</v>
      </c>
      <c r="S111" s="38">
        <f t="shared" ref="S111" si="23">S106</f>
        <v>1</v>
      </c>
      <c r="T111" s="14"/>
      <c r="U111" s="10">
        <v>9</v>
      </c>
    </row>
    <row r="112" spans="1:21" x14ac:dyDescent="0.3">
      <c r="A112" s="1" t="s">
        <v>42</v>
      </c>
      <c r="B112" s="7"/>
      <c r="C112" s="7"/>
      <c r="D112" s="7"/>
      <c r="E112" s="7"/>
      <c r="F112" s="7"/>
      <c r="G112" s="7"/>
      <c r="H112" s="7"/>
      <c r="I112" s="7"/>
      <c r="J112" s="7"/>
      <c r="K112" s="7"/>
      <c r="L112" s="7"/>
      <c r="M112" s="7"/>
      <c r="N112" s="7">
        <f t="shared" si="22"/>
        <v>0</v>
      </c>
      <c r="P112" s="20" t="s">
        <v>363</v>
      </c>
      <c r="Q112" s="22">
        <v>2.2999999999999998</v>
      </c>
      <c r="R112" s="22">
        <v>2.2999999999999998</v>
      </c>
      <c r="S112" s="38">
        <v>2</v>
      </c>
      <c r="T112" s="14" t="s">
        <v>373</v>
      </c>
      <c r="U112" s="59">
        <v>10</v>
      </c>
    </row>
    <row r="113" spans="1:21" x14ac:dyDescent="0.3">
      <c r="A113" s="1" t="s">
        <v>43</v>
      </c>
      <c r="B113" s="7"/>
      <c r="C113" s="7"/>
      <c r="D113" s="7"/>
      <c r="E113" s="7"/>
      <c r="F113" s="7"/>
      <c r="G113" s="7"/>
      <c r="H113" s="7"/>
      <c r="I113" s="7"/>
      <c r="J113" s="7"/>
      <c r="K113" s="7"/>
      <c r="L113" s="7"/>
      <c r="M113" s="7"/>
      <c r="N113" s="7">
        <f t="shared" si="22"/>
        <v>0</v>
      </c>
      <c r="P113" s="20" t="s">
        <v>364</v>
      </c>
      <c r="Q113" s="22">
        <v>3.1</v>
      </c>
      <c r="R113" s="22">
        <v>2.7</v>
      </c>
      <c r="S113" s="38">
        <v>2</v>
      </c>
      <c r="T113" s="14" t="s">
        <v>373</v>
      </c>
      <c r="U113" s="59">
        <v>11</v>
      </c>
    </row>
    <row r="114" spans="1:21" x14ac:dyDescent="0.3">
      <c r="A114" s="1" t="s">
        <v>44</v>
      </c>
      <c r="B114" s="7"/>
      <c r="C114" s="7"/>
      <c r="D114" s="7"/>
      <c r="E114" s="7"/>
      <c r="F114" s="7"/>
      <c r="G114" s="7"/>
      <c r="H114" s="7"/>
      <c r="I114" s="7"/>
      <c r="J114" s="7"/>
      <c r="K114" s="7"/>
      <c r="L114" s="7"/>
      <c r="M114" s="7"/>
      <c r="N114" s="7">
        <f t="shared" si="22"/>
        <v>0</v>
      </c>
      <c r="P114" s="20" t="s">
        <v>365</v>
      </c>
      <c r="Q114" s="22">
        <v>2.9</v>
      </c>
      <c r="R114" s="22">
        <v>2.7</v>
      </c>
      <c r="S114" s="38">
        <v>2</v>
      </c>
      <c r="T114" s="14" t="s">
        <v>373</v>
      </c>
      <c r="U114" s="59">
        <v>12</v>
      </c>
    </row>
    <row r="115" spans="1:21" x14ac:dyDescent="0.3">
      <c r="A115" s="1" t="s">
        <v>45</v>
      </c>
      <c r="B115" s="7"/>
      <c r="C115" s="7"/>
      <c r="D115" s="7"/>
      <c r="E115" s="7"/>
      <c r="F115" s="7"/>
      <c r="G115" s="7"/>
      <c r="H115" s="7"/>
      <c r="I115" s="7"/>
      <c r="J115" s="7"/>
      <c r="K115" s="7"/>
      <c r="L115" s="7"/>
      <c r="M115" s="7"/>
      <c r="N115" s="7">
        <f t="shared" si="22"/>
        <v>0</v>
      </c>
      <c r="P115" s="20" t="s">
        <v>370</v>
      </c>
      <c r="Q115" s="22"/>
      <c r="R115" s="22"/>
      <c r="S115" s="38">
        <v>2</v>
      </c>
      <c r="T115" s="14" t="s">
        <v>373</v>
      </c>
      <c r="U115" s="59">
        <v>13</v>
      </c>
    </row>
    <row r="116" spans="1:21" x14ac:dyDescent="0.3">
      <c r="A116" s="1" t="s">
        <v>46</v>
      </c>
      <c r="B116" s="7"/>
      <c r="C116" s="7"/>
      <c r="D116" s="7"/>
      <c r="E116" s="7"/>
      <c r="F116" s="7"/>
      <c r="G116" s="7"/>
      <c r="H116" s="7"/>
      <c r="I116" s="7"/>
      <c r="J116" s="7"/>
      <c r="K116" s="7"/>
      <c r="L116" s="7"/>
      <c r="M116" s="7"/>
      <c r="N116" s="7">
        <f t="shared" si="22"/>
        <v>0</v>
      </c>
      <c r="P116" s="20" t="s">
        <v>369</v>
      </c>
      <c r="Q116" s="22">
        <v>2.7</v>
      </c>
      <c r="R116" s="22">
        <v>2.8</v>
      </c>
      <c r="S116" s="38">
        <v>2</v>
      </c>
      <c r="T116" s="14" t="s">
        <v>373</v>
      </c>
      <c r="U116" s="59">
        <v>14</v>
      </c>
    </row>
    <row r="117" spans="1:21" x14ac:dyDescent="0.3">
      <c r="A117" s="1" t="s">
        <v>47</v>
      </c>
      <c r="B117" s="7"/>
      <c r="C117" s="7"/>
      <c r="D117" s="7"/>
      <c r="E117" s="7"/>
      <c r="F117" s="7"/>
      <c r="G117" s="7"/>
      <c r="H117" s="7"/>
      <c r="I117" s="7"/>
      <c r="J117" s="7"/>
      <c r="K117" s="7"/>
      <c r="L117" s="7"/>
      <c r="M117" s="7"/>
      <c r="N117" s="7">
        <f t="shared" si="22"/>
        <v>0</v>
      </c>
      <c r="P117" s="20" t="s">
        <v>368</v>
      </c>
      <c r="Q117" s="22">
        <v>2.7</v>
      </c>
      <c r="R117" s="22">
        <v>2.7</v>
      </c>
      <c r="S117" s="38">
        <v>2</v>
      </c>
      <c r="T117" s="14" t="s">
        <v>373</v>
      </c>
      <c r="U117" s="59">
        <v>15</v>
      </c>
    </row>
    <row r="118" spans="1:21" x14ac:dyDescent="0.3">
      <c r="A118" s="1" t="s">
        <v>48</v>
      </c>
      <c r="B118" s="7"/>
      <c r="C118" s="7"/>
      <c r="D118" s="7"/>
      <c r="E118" s="7"/>
      <c r="F118" s="7"/>
      <c r="G118" s="7"/>
      <c r="H118" s="7"/>
      <c r="I118" s="7"/>
      <c r="J118" s="7"/>
      <c r="K118" s="7"/>
      <c r="L118" s="7"/>
      <c r="M118" s="7"/>
      <c r="N118" s="7">
        <f t="shared" si="22"/>
        <v>0</v>
      </c>
      <c r="P118" s="26" t="s">
        <v>367</v>
      </c>
      <c r="Q118" s="57">
        <v>3.2</v>
      </c>
      <c r="R118" s="57">
        <v>2.9</v>
      </c>
      <c r="S118" s="60">
        <v>2</v>
      </c>
      <c r="T118" s="25" t="s">
        <v>373</v>
      </c>
      <c r="U118" s="59">
        <v>16</v>
      </c>
    </row>
    <row r="119" spans="1:21" x14ac:dyDescent="0.3">
      <c r="A119" s="1" t="s">
        <v>49</v>
      </c>
      <c r="B119" s="7"/>
      <c r="C119" s="7"/>
      <c r="D119" s="7"/>
      <c r="E119" s="7"/>
      <c r="F119" s="7"/>
      <c r="G119" s="7"/>
      <c r="H119" s="7"/>
      <c r="I119" s="7"/>
      <c r="J119" s="7"/>
      <c r="K119" s="7"/>
      <c r="L119" s="7"/>
      <c r="M119" s="7"/>
      <c r="N119" s="7">
        <f t="shared" si="22"/>
        <v>0</v>
      </c>
      <c r="Q119" s="23"/>
      <c r="U119" s="10" t="e">
        <f>VLOOKUP(Schwimmbadbilanz!E64,P102:U118,6,FALSE)</f>
        <v>#N/A</v>
      </c>
    </row>
    <row r="120" spans="1:21" x14ac:dyDescent="0.3">
      <c r="A120" s="1" t="s">
        <v>50</v>
      </c>
      <c r="B120" s="7"/>
      <c r="C120" s="7"/>
      <c r="D120" s="7"/>
      <c r="E120" s="7"/>
      <c r="F120" s="7"/>
      <c r="G120" s="7"/>
      <c r="H120" s="7"/>
      <c r="I120" s="7"/>
      <c r="J120" s="7"/>
      <c r="K120" s="7"/>
      <c r="L120" s="7"/>
      <c r="M120" s="7"/>
      <c r="N120" s="7">
        <f t="shared" si="22"/>
        <v>0</v>
      </c>
      <c r="Q120" s="23"/>
    </row>
    <row r="121" spans="1:21" x14ac:dyDescent="0.3">
      <c r="A121" s="1" t="s">
        <v>51</v>
      </c>
      <c r="B121" s="7"/>
      <c r="C121" s="7"/>
      <c r="D121" s="7"/>
      <c r="E121" s="7"/>
      <c r="F121" s="7"/>
      <c r="G121" s="7"/>
      <c r="H121" s="7"/>
      <c r="I121" s="7"/>
      <c r="J121" s="7"/>
      <c r="K121" s="7"/>
      <c r="L121" s="7"/>
      <c r="M121" s="7"/>
      <c r="N121" s="7">
        <f t="shared" si="22"/>
        <v>0</v>
      </c>
      <c r="Q121" s="23"/>
    </row>
    <row r="122" spans="1:21" x14ac:dyDescent="0.3">
      <c r="A122" s="1" t="s">
        <v>52</v>
      </c>
      <c r="B122" s="7"/>
      <c r="C122" s="7"/>
      <c r="D122" s="7"/>
      <c r="E122" s="7"/>
      <c r="F122" s="7"/>
      <c r="G122" s="7"/>
      <c r="H122" s="7"/>
      <c r="I122" s="7"/>
      <c r="J122" s="7"/>
      <c r="K122" s="7"/>
      <c r="L122" s="7"/>
      <c r="M122" s="7"/>
      <c r="N122" s="7">
        <f t="shared" si="22"/>
        <v>0</v>
      </c>
      <c r="Q122" s="23"/>
    </row>
    <row r="123" spans="1:21" x14ac:dyDescent="0.3">
      <c r="A123" s="1" t="s">
        <v>53</v>
      </c>
      <c r="B123" s="7">
        <v>112</v>
      </c>
      <c r="C123" s="7">
        <v>169</v>
      </c>
      <c r="D123" s="7">
        <v>308</v>
      </c>
      <c r="E123" s="7">
        <v>407</v>
      </c>
      <c r="F123" s="7">
        <v>522</v>
      </c>
      <c r="G123" s="7">
        <v>550</v>
      </c>
      <c r="H123" s="7">
        <v>576</v>
      </c>
      <c r="I123" s="7">
        <v>504</v>
      </c>
      <c r="J123" s="7">
        <v>334</v>
      </c>
      <c r="K123" s="7">
        <v>209</v>
      </c>
      <c r="L123" s="7">
        <v>117</v>
      </c>
      <c r="M123" s="7">
        <v>86</v>
      </c>
      <c r="N123" s="7">
        <f t="shared" si="22"/>
        <v>3894</v>
      </c>
      <c r="Q123" s="23"/>
    </row>
    <row r="124" spans="1:21" x14ac:dyDescent="0.3">
      <c r="A124" s="1" t="s">
        <v>54</v>
      </c>
      <c r="B124" s="7"/>
      <c r="C124" s="7"/>
      <c r="D124" s="7"/>
      <c r="E124" s="7"/>
      <c r="F124" s="7"/>
      <c r="G124" s="7"/>
      <c r="H124" s="7"/>
      <c r="I124" s="7"/>
      <c r="J124" s="7"/>
      <c r="K124" s="7"/>
      <c r="L124" s="7"/>
      <c r="M124" s="7"/>
      <c r="N124" s="7">
        <f t="shared" si="22"/>
        <v>0</v>
      </c>
      <c r="Q124" s="23"/>
    </row>
    <row r="125" spans="1:21" x14ac:dyDescent="0.3">
      <c r="A125" s="1" t="s">
        <v>62</v>
      </c>
      <c r="B125" s="7"/>
      <c r="C125" s="7"/>
      <c r="D125" s="7"/>
      <c r="E125" s="7"/>
      <c r="F125" s="7"/>
      <c r="G125" s="7"/>
      <c r="H125" s="7"/>
      <c r="I125" s="7"/>
      <c r="J125" s="7"/>
      <c r="K125" s="7"/>
      <c r="L125" s="7"/>
      <c r="M125" s="7"/>
      <c r="N125" s="7">
        <f t="shared" si="22"/>
        <v>0</v>
      </c>
      <c r="Q125" s="23"/>
    </row>
    <row r="126" spans="1:21" x14ac:dyDescent="0.3">
      <c r="A126" s="1" t="s">
        <v>55</v>
      </c>
      <c r="B126" s="7"/>
      <c r="C126" s="7"/>
      <c r="D126" s="7"/>
      <c r="E126" s="7"/>
      <c r="F126" s="7"/>
      <c r="G126" s="7"/>
      <c r="H126" s="7"/>
      <c r="I126" s="7"/>
      <c r="J126" s="7"/>
      <c r="K126" s="7"/>
      <c r="L126" s="7"/>
      <c r="M126" s="7"/>
      <c r="N126" s="7">
        <f t="shared" si="22"/>
        <v>0</v>
      </c>
    </row>
    <row r="127" spans="1:21" x14ac:dyDescent="0.3">
      <c r="A127" s="1" t="s">
        <v>56</v>
      </c>
      <c r="B127" s="7"/>
      <c r="C127" s="7"/>
      <c r="D127" s="7"/>
      <c r="E127" s="7"/>
      <c r="F127" s="7"/>
      <c r="G127" s="7"/>
      <c r="H127" s="7"/>
      <c r="I127" s="7"/>
      <c r="J127" s="7"/>
      <c r="K127" s="7"/>
      <c r="L127" s="7"/>
      <c r="M127" s="7"/>
      <c r="N127" s="7">
        <f t="shared" si="22"/>
        <v>0</v>
      </c>
    </row>
    <row r="128" spans="1:21" x14ac:dyDescent="0.3">
      <c r="A128" s="1" t="s">
        <v>58</v>
      </c>
      <c r="B128" s="7"/>
      <c r="C128" s="7"/>
      <c r="D128" s="7"/>
      <c r="E128" s="7"/>
      <c r="F128" s="7"/>
      <c r="G128" s="7"/>
      <c r="H128" s="7"/>
      <c r="I128" s="7"/>
      <c r="J128" s="7"/>
      <c r="K128" s="7"/>
      <c r="L128" s="7"/>
      <c r="M128" s="7"/>
      <c r="N128" s="7">
        <f t="shared" si="22"/>
        <v>0</v>
      </c>
    </row>
    <row r="129" spans="1:14" x14ac:dyDescent="0.3">
      <c r="A129" s="1" t="s">
        <v>59</v>
      </c>
      <c r="B129" s="7"/>
      <c r="C129" s="7"/>
      <c r="D129" s="7"/>
      <c r="E129" s="7"/>
      <c r="F129" s="7"/>
      <c r="G129" s="7"/>
      <c r="H129" s="7"/>
      <c r="I129" s="7"/>
      <c r="J129" s="7"/>
      <c r="K129" s="7"/>
      <c r="L129" s="7"/>
      <c r="M129" s="7"/>
      <c r="N129" s="7">
        <f t="shared" si="22"/>
        <v>0</v>
      </c>
    </row>
    <row r="130" spans="1:14" x14ac:dyDescent="0.3">
      <c r="A130" s="1" t="s">
        <v>60</v>
      </c>
      <c r="B130" s="8">
        <v>102</v>
      </c>
      <c r="C130" s="8">
        <v>167</v>
      </c>
      <c r="D130" s="8">
        <v>313</v>
      </c>
      <c r="E130" s="8">
        <v>425</v>
      </c>
      <c r="F130" s="8">
        <v>546</v>
      </c>
      <c r="G130" s="8">
        <v>583</v>
      </c>
      <c r="H130" s="8">
        <v>603</v>
      </c>
      <c r="I130" s="8">
        <v>525</v>
      </c>
      <c r="J130" s="8">
        <v>355</v>
      </c>
      <c r="K130" s="8">
        <v>209</v>
      </c>
      <c r="L130" s="8">
        <v>106</v>
      </c>
      <c r="M130" s="8">
        <v>80</v>
      </c>
      <c r="N130" s="7">
        <f t="shared" si="22"/>
        <v>4014</v>
      </c>
    </row>
    <row r="131" spans="1:14" x14ac:dyDescent="0.3">
      <c r="A131" s="2" t="s">
        <v>61</v>
      </c>
      <c r="B131" s="8">
        <v>104</v>
      </c>
      <c r="C131" s="8">
        <v>165</v>
      </c>
      <c r="D131" s="8">
        <v>311</v>
      </c>
      <c r="E131" s="8">
        <v>417</v>
      </c>
      <c r="F131" s="8">
        <v>536</v>
      </c>
      <c r="G131" s="8">
        <v>570</v>
      </c>
      <c r="H131" s="8">
        <v>595</v>
      </c>
      <c r="I131" s="8">
        <v>522</v>
      </c>
      <c r="J131" s="8">
        <v>355</v>
      </c>
      <c r="K131" s="8">
        <v>214</v>
      </c>
      <c r="L131" s="8">
        <v>109</v>
      </c>
      <c r="M131" s="8">
        <v>80</v>
      </c>
      <c r="N131" s="9">
        <f t="shared" si="22"/>
        <v>3978</v>
      </c>
    </row>
    <row r="132" spans="1:14" x14ac:dyDescent="0.3">
      <c r="A132" s="34" t="s">
        <v>76</v>
      </c>
      <c r="B132" s="61"/>
      <c r="C132" s="61"/>
      <c r="D132" s="61"/>
      <c r="E132" s="61"/>
      <c r="F132" s="61"/>
      <c r="G132" s="61"/>
      <c r="H132" s="61"/>
      <c r="I132" s="61"/>
      <c r="J132" s="61"/>
      <c r="K132" s="61"/>
      <c r="L132" s="61"/>
      <c r="M132" s="61"/>
      <c r="N132" s="61">
        <f t="shared" si="22"/>
        <v>0</v>
      </c>
    </row>
    <row r="171" spans="16:17" x14ac:dyDescent="0.3">
      <c r="P171" s="29" t="s">
        <v>390</v>
      </c>
      <c r="Q171" s="29" t="s">
        <v>403</v>
      </c>
    </row>
    <row r="172" spans="16:17" x14ac:dyDescent="0.3">
      <c r="P172" s="10" t="s">
        <v>391</v>
      </c>
      <c r="Q172" s="10">
        <v>75</v>
      </c>
    </row>
    <row r="173" spans="16:17" x14ac:dyDescent="0.3">
      <c r="P173" s="10" t="s">
        <v>392</v>
      </c>
      <c r="Q173" s="10">
        <v>50</v>
      </c>
    </row>
    <row r="174" spans="16:17" x14ac:dyDescent="0.3">
      <c r="P174" s="10" t="s">
        <v>393</v>
      </c>
      <c r="Q174" s="10">
        <v>25</v>
      </c>
    </row>
    <row r="175" spans="16:17" x14ac:dyDescent="0.3">
      <c r="P175" s="10" t="s">
        <v>394</v>
      </c>
      <c r="Q175" s="10">
        <v>25</v>
      </c>
    </row>
    <row r="176" spans="16:17" x14ac:dyDescent="0.3">
      <c r="P176" s="10" t="s">
        <v>395</v>
      </c>
      <c r="Q176" s="10">
        <v>25</v>
      </c>
    </row>
    <row r="177" spans="16:17" x14ac:dyDescent="0.3">
      <c r="P177" s="10" t="s">
        <v>396</v>
      </c>
      <c r="Q177" s="10">
        <v>200</v>
      </c>
    </row>
    <row r="178" spans="16:17" x14ac:dyDescent="0.3">
      <c r="P178" s="10" t="s">
        <v>397</v>
      </c>
      <c r="Q178" s="10">
        <v>50</v>
      </c>
    </row>
    <row r="179" spans="16:17" x14ac:dyDescent="0.3">
      <c r="P179" s="10" t="s">
        <v>398</v>
      </c>
      <c r="Q179" s="10">
        <v>100</v>
      </c>
    </row>
    <row r="180" spans="16:17" x14ac:dyDescent="0.3">
      <c r="P180" s="10" t="s">
        <v>399</v>
      </c>
      <c r="Q180" s="10">
        <v>25</v>
      </c>
    </row>
    <row r="181" spans="16:17" x14ac:dyDescent="0.3">
      <c r="P181" s="10" t="s">
        <v>400</v>
      </c>
      <c r="Q181" s="10">
        <v>5</v>
      </c>
    </row>
    <row r="182" spans="16:17" x14ac:dyDescent="0.3">
      <c r="P182" s="10" t="s">
        <v>401</v>
      </c>
      <c r="Q182" s="10">
        <v>300</v>
      </c>
    </row>
    <row r="183" spans="16:17" x14ac:dyDescent="0.3">
      <c r="P183" s="10" t="s">
        <v>402</v>
      </c>
      <c r="Q183" s="10">
        <v>300</v>
      </c>
    </row>
  </sheetData>
  <sheetProtection algorithmName="SHA-512" hashValue="kOy96l3lnAClGYhJ0L6BipPDM1I2OX+dUbSymst0afeEa39R467XdXdD5QgQ71U2LfZZ0jNN3GhMC55wNWhcOw==" saltValue="7/jp03dw2mYLSI7zYcsmLg==" spinCount="100000" sheet="1" objects="1" scenarios="1"/>
  <mergeCells count="12">
    <mergeCell ref="AQ2:AS2"/>
    <mergeCell ref="Z2:AO2"/>
    <mergeCell ref="A2:J2"/>
    <mergeCell ref="X6:Y6"/>
    <mergeCell ref="Z4:AC5"/>
    <mergeCell ref="AF22:AQ22"/>
    <mergeCell ref="AF29:AQ29"/>
    <mergeCell ref="X7:X15"/>
    <mergeCell ref="AD4:AO4"/>
    <mergeCell ref="AD5:AG5"/>
    <mergeCell ref="AH5:AK5"/>
    <mergeCell ref="AL5:AO5"/>
  </mergeCells>
  <pageMargins left="0.62992125984251968" right="0.62992125984251968" top="0.9055118110236221" bottom="0.78740157480314965" header="0" footer="0.19685039370078741"/>
  <pageSetup paperSize="9" orientation="landscape" r:id="rId1"/>
  <headerFooter>
    <oddHeader>&amp;L&amp;G</oddHeader>
    <oddFooter>&amp;R&amp;"Calibri,Standard"&amp;8&amp;K00-040&amp;F / &amp;A / &amp;D</oddFooter>
    <firstHeader>&amp;L&amp;G</firstHeader>
    <firstFooter>&amp;R&amp;"Calibri,Standard"&amp;8&amp;K00-033&amp;F / &amp;D</firstFooter>
  </headerFooter>
  <drawing r:id="rId2"/>
  <legacyDrawing r:id="rId3"/>
  <legacyDrawingHF r:id="rId4"/>
  <extLst>
    <ext xmlns:x14="http://schemas.microsoft.com/office/spreadsheetml/2009/9/main" uri="{78C0D931-6437-407d-A8EE-F0AAD7539E65}">
      <x14:conditionalFormattings>
        <x14:conditionalFormatting xmlns:xm="http://schemas.microsoft.com/office/excel/2006/main">
          <x14:cfRule type="expression" priority="1" id="{2EBD5842-C0E2-46DD-B9DD-274851ADF7A9}">
            <xm:f>Schwimmbadbilanz!$C$24=$P$51</xm:f>
            <x14:dxf/>
          </x14:cfRule>
          <xm:sqref>F20:I20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Schwimmbadbilanz</vt:lpstr>
      <vt:lpstr>U-Wert</vt:lpstr>
      <vt:lpstr>Daten</vt:lpstr>
      <vt:lpstr>Schwimmbadbilanz!Druckbereich</vt:lpstr>
      <vt:lpstr>'U-Wert'!Druckbereich</vt:lpstr>
      <vt:lpstr>Schwimmbadbilanz!Drucktitel</vt:lpstr>
    </vt:vector>
  </TitlesOfParts>
  <Company>Lenum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Lampert Philipp</dc:creator>
  <cp:lastModifiedBy>Schmuck Hermann</cp:lastModifiedBy>
  <cp:lastPrinted>2015-05-13T07:01:24Z</cp:lastPrinted>
  <dcterms:created xsi:type="dcterms:W3CDTF">2006-10-31T15:10:44Z</dcterms:created>
  <dcterms:modified xsi:type="dcterms:W3CDTF">2015-08-19T07:55:31Z</dcterms:modified>
</cp:coreProperties>
</file>